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70" yWindow="-165" windowWidth="12930" windowHeight="10290"/>
  </bookViews>
  <sheets>
    <sheet name="Soil &amp; Air" sheetId="3" r:id="rId1"/>
    <sheet name="2-D External Exposure" sheetId="4" r:id="rId2"/>
    <sheet name="Isotope Specific Factors" sheetId="5" r:id="rId3"/>
  </sheets>
  <calcPr calcId="145621"/>
</workbook>
</file>

<file path=xl/calcChain.xml><?xml version="1.0" encoding="utf-8"?>
<calcChain xmlns="http://schemas.openxmlformats.org/spreadsheetml/2006/main">
  <c r="H5" i="4" l="1"/>
  <c r="I5" i="4"/>
  <c r="J5" i="4"/>
  <c r="K5" i="4"/>
  <c r="L5" i="4"/>
  <c r="L4" i="4"/>
  <c r="K4" i="4"/>
  <c r="J4" i="4"/>
  <c r="I4" i="4"/>
  <c r="H4" i="4"/>
  <c r="H3" i="4"/>
  <c r="I3" i="4"/>
  <c r="J3" i="4"/>
  <c r="K3" i="4"/>
  <c r="L3" i="4"/>
  <c r="L2" i="4"/>
  <c r="I2" i="4"/>
  <c r="J2" i="4"/>
  <c r="K2" i="4"/>
  <c r="H2" i="4"/>
  <c r="K5" i="3"/>
  <c r="K4" i="3"/>
  <c r="K3" i="3"/>
  <c r="K2" i="3"/>
  <c r="J5" i="3"/>
  <c r="J4" i="3"/>
  <c r="J3" i="3"/>
  <c r="J2" i="3"/>
  <c r="I5" i="3"/>
  <c r="I4" i="3"/>
  <c r="I3" i="3"/>
  <c r="I2" i="3"/>
  <c r="H5" i="3"/>
  <c r="H4" i="3"/>
  <c r="H3" i="3"/>
  <c r="H2" i="3"/>
  <c r="I7" i="5"/>
  <c r="I4" i="5"/>
  <c r="I3" i="5"/>
  <c r="G5" i="4" l="1"/>
  <c r="U24" i="4" s="1"/>
  <c r="G2" i="4"/>
  <c r="U46" i="4"/>
  <c r="N46" i="4"/>
  <c r="G46" i="4"/>
  <c r="U45" i="4"/>
  <c r="N45" i="4"/>
  <c r="G45" i="4"/>
  <c r="U44" i="4"/>
  <c r="N44" i="4"/>
  <c r="G44" i="4"/>
  <c r="U43" i="4"/>
  <c r="N43" i="4"/>
  <c r="G43" i="4"/>
  <c r="U42" i="4"/>
  <c r="N42" i="4"/>
  <c r="G42" i="4"/>
  <c r="U36" i="4"/>
  <c r="N36" i="4"/>
  <c r="G36" i="4"/>
  <c r="U35" i="4"/>
  <c r="N35" i="4"/>
  <c r="G35" i="4"/>
  <c r="U34" i="4"/>
  <c r="N34" i="4"/>
  <c r="G34" i="4"/>
  <c r="U33" i="4"/>
  <c r="N33" i="4"/>
  <c r="G33" i="4"/>
  <c r="U32" i="4"/>
  <c r="N32" i="4"/>
  <c r="G32" i="4"/>
  <c r="U31" i="4"/>
  <c r="N31" i="4"/>
  <c r="G31" i="4"/>
  <c r="U30" i="4"/>
  <c r="N30" i="4"/>
  <c r="G30" i="4"/>
  <c r="U29" i="4"/>
  <c r="N29" i="4"/>
  <c r="G29" i="4"/>
  <c r="U28" i="4"/>
  <c r="N28" i="4"/>
  <c r="G28" i="4"/>
  <c r="U27" i="4"/>
  <c r="N27" i="4"/>
  <c r="G27" i="4"/>
  <c r="U23" i="4"/>
  <c r="R23" i="4"/>
  <c r="K23" i="4"/>
  <c r="F23" i="4"/>
  <c r="S17" i="4"/>
  <c r="R17" i="4"/>
  <c r="G17" i="4"/>
  <c r="F17" i="4"/>
  <c r="F5" i="4"/>
  <c r="T23" i="4" s="1"/>
  <c r="F4" i="4"/>
  <c r="G4" i="4" s="1"/>
  <c r="B4" i="4"/>
  <c r="F3" i="4"/>
  <c r="U17" i="4" s="1"/>
  <c r="F2" i="4"/>
  <c r="V14" i="4" s="1"/>
  <c r="O21" i="3"/>
  <c r="O15" i="3"/>
  <c r="O12" i="3"/>
  <c r="N21" i="3"/>
  <c r="N18" i="3"/>
  <c r="N15" i="3"/>
  <c r="N12" i="3"/>
  <c r="L17" i="4" l="1"/>
  <c r="V17" i="4"/>
  <c r="L23" i="4"/>
  <c r="V23" i="4"/>
  <c r="M17" i="4"/>
  <c r="E23" i="4"/>
  <c r="O23" i="4"/>
  <c r="G3" i="4"/>
  <c r="U25" i="4"/>
  <c r="M14" i="4"/>
  <c r="R24" i="4"/>
  <c r="R25" i="4" s="1"/>
  <c r="H14" i="4"/>
  <c r="T14" i="4"/>
  <c r="G24" i="4"/>
  <c r="S24" i="4"/>
  <c r="K14" i="4"/>
  <c r="U14" i="4"/>
  <c r="D17" i="4"/>
  <c r="H17" i="4"/>
  <c r="N17" i="4"/>
  <c r="T17" i="4"/>
  <c r="G23" i="4"/>
  <c r="G25" i="4" s="1"/>
  <c r="M23" i="4"/>
  <c r="S23" i="4"/>
  <c r="D24" i="4"/>
  <c r="H24" i="4"/>
  <c r="N24" i="4"/>
  <c r="T24" i="4"/>
  <c r="T25" i="4" s="1"/>
  <c r="G14" i="4"/>
  <c r="S14" i="4"/>
  <c r="F24" i="4"/>
  <c r="F25" i="4" s="1"/>
  <c r="L24" i="4"/>
  <c r="L25" i="4" s="1"/>
  <c r="V24" i="4"/>
  <c r="D14" i="4"/>
  <c r="N14" i="4"/>
  <c r="M24" i="4"/>
  <c r="E14" i="4"/>
  <c r="O14" i="4"/>
  <c r="F14" i="4"/>
  <c r="L14" i="4"/>
  <c r="R14" i="4"/>
  <c r="E17" i="4"/>
  <c r="K17" i="4"/>
  <c r="O17" i="4"/>
  <c r="D23" i="4"/>
  <c r="H23" i="4"/>
  <c r="H25" i="4" s="1"/>
  <c r="N23" i="4"/>
  <c r="E24" i="4"/>
  <c r="E25" i="4" s="1"/>
  <c r="K24" i="4"/>
  <c r="K25" i="4" s="1"/>
  <c r="O24" i="4"/>
  <c r="S25" i="4" l="1"/>
  <c r="O25" i="4"/>
  <c r="V25" i="4"/>
  <c r="D25" i="4"/>
  <c r="M25" i="4"/>
  <c r="S15" i="4"/>
  <c r="S16" i="4" s="1"/>
  <c r="M15" i="4"/>
  <c r="M16" i="4" s="1"/>
  <c r="G15" i="4"/>
  <c r="G16" i="4" s="1"/>
  <c r="U15" i="4"/>
  <c r="U16" i="4" s="1"/>
  <c r="K15" i="4"/>
  <c r="K16" i="4" s="1"/>
  <c r="T15" i="4"/>
  <c r="T16" i="4" s="1"/>
  <c r="H15" i="4"/>
  <c r="H16" i="4" s="1"/>
  <c r="V15" i="4"/>
  <c r="V16" i="4" s="1"/>
  <c r="R15" i="4"/>
  <c r="R16" i="4" s="1"/>
  <c r="L15" i="4"/>
  <c r="L16" i="4" s="1"/>
  <c r="F15" i="4"/>
  <c r="F16" i="4" s="1"/>
  <c r="O15" i="4"/>
  <c r="O16" i="4" s="1"/>
  <c r="E15" i="4"/>
  <c r="E16" i="4" s="1"/>
  <c r="N15" i="4"/>
  <c r="N16" i="4" s="1"/>
  <c r="D15" i="4"/>
  <c r="D16" i="4" s="1"/>
  <c r="V18" i="4"/>
  <c r="V19" i="4" s="1"/>
  <c r="R18" i="4"/>
  <c r="R19" i="4" s="1"/>
  <c r="L18" i="4"/>
  <c r="L19" i="4" s="1"/>
  <c r="F18" i="4"/>
  <c r="F19" i="4" s="1"/>
  <c r="T18" i="4"/>
  <c r="T19" i="4" s="1"/>
  <c r="H18" i="4"/>
  <c r="H19" i="4" s="1"/>
  <c r="S18" i="4"/>
  <c r="S19" i="4" s="1"/>
  <c r="G18" i="4"/>
  <c r="G19" i="4" s="1"/>
  <c r="U18" i="4"/>
  <c r="U19" i="4" s="1"/>
  <c r="O18" i="4"/>
  <c r="O19" i="4" s="1"/>
  <c r="K18" i="4"/>
  <c r="K19" i="4" s="1"/>
  <c r="E18" i="4"/>
  <c r="E19" i="4" s="1"/>
  <c r="N18" i="4"/>
  <c r="N19" i="4" s="1"/>
  <c r="D18" i="4"/>
  <c r="D19" i="4" s="1"/>
  <c r="M18" i="4"/>
  <c r="M19" i="4" s="1"/>
  <c r="N25" i="4"/>
  <c r="G2" i="3" l="1"/>
  <c r="L11" i="3"/>
  <c r="F10" i="3"/>
  <c r="E13" i="3"/>
  <c r="K11" i="3"/>
  <c r="O47" i="3"/>
  <c r="O46" i="3"/>
  <c r="O45" i="3"/>
  <c r="O44" i="3"/>
  <c r="O43" i="3"/>
  <c r="O42" i="3"/>
  <c r="O41" i="3"/>
  <c r="O39" i="3"/>
  <c r="O38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P20" i="3"/>
  <c r="O20" i="3"/>
  <c r="O22" i="3" s="1"/>
  <c r="N20" i="3"/>
  <c r="N22" i="3" s="1"/>
  <c r="M20" i="3"/>
  <c r="P17" i="3"/>
  <c r="N17" i="3"/>
  <c r="N19" i="3" s="1"/>
  <c r="P18" i="3" s="1"/>
  <c r="M17" i="3"/>
  <c r="P14" i="3"/>
  <c r="O14" i="3"/>
  <c r="O16" i="3" s="1"/>
  <c r="N14" i="3"/>
  <c r="N16" i="3" s="1"/>
  <c r="M14" i="3"/>
  <c r="P11" i="3"/>
  <c r="O11" i="3"/>
  <c r="O13" i="3" s="1"/>
  <c r="N11" i="3"/>
  <c r="N13" i="3" s="1"/>
  <c r="M11" i="3"/>
  <c r="H38" i="3"/>
  <c r="H37" i="3"/>
  <c r="H36" i="3"/>
  <c r="H35" i="3"/>
  <c r="H34" i="3"/>
  <c r="H32" i="3"/>
  <c r="H30" i="3"/>
  <c r="H29" i="3"/>
  <c r="H28" i="3"/>
  <c r="H27" i="3"/>
  <c r="H26" i="3"/>
  <c r="H25" i="3"/>
  <c r="H24" i="3"/>
  <c r="H23" i="3"/>
  <c r="H19" i="3"/>
  <c r="H16" i="3"/>
  <c r="H13" i="3"/>
  <c r="H10" i="3"/>
  <c r="F5" i="3"/>
  <c r="F19" i="3" s="1"/>
  <c r="F4" i="3"/>
  <c r="G4" i="3" s="1"/>
  <c r="F3" i="3"/>
  <c r="G3" i="3" s="1"/>
  <c r="F2" i="3"/>
  <c r="G10" i="3" s="1"/>
  <c r="B10" i="3"/>
  <c r="B9" i="3" s="1"/>
  <c r="P21" i="3" l="1"/>
  <c r="P22" i="3" s="1"/>
  <c r="K15" i="3"/>
  <c r="F14" i="3"/>
  <c r="L15" i="3"/>
  <c r="E14" i="3"/>
  <c r="E15" i="3" s="1"/>
  <c r="G14" i="3"/>
  <c r="G15" i="3" s="1"/>
  <c r="G12" i="3"/>
  <c r="K18" i="3"/>
  <c r="F17" i="3"/>
  <c r="F18" i="3" s="1"/>
  <c r="H17" i="3" s="1"/>
  <c r="H18" i="3" s="1"/>
  <c r="K17" i="3"/>
  <c r="G13" i="3"/>
  <c r="E11" i="3"/>
  <c r="E12" i="3" s="1"/>
  <c r="H11" i="3" s="1"/>
  <c r="H12" i="3" s="1"/>
  <c r="G11" i="3"/>
  <c r="F11" i="3"/>
  <c r="F12" i="3" s="1"/>
  <c r="L12" i="3"/>
  <c r="L13" i="3" s="1"/>
  <c r="K12" i="3"/>
  <c r="K13" i="3" s="1"/>
  <c r="M12" i="3" s="1"/>
  <c r="M13" i="3" s="1"/>
  <c r="F16" i="3"/>
  <c r="K20" i="3"/>
  <c r="F13" i="3"/>
  <c r="F15" i="3" s="1"/>
  <c r="L14" i="3"/>
  <c r="G5" i="3"/>
  <c r="E10" i="3"/>
  <c r="E19" i="3"/>
  <c r="G19" i="3"/>
  <c r="L20" i="3"/>
  <c r="K14" i="3"/>
  <c r="K16" i="3" s="1"/>
  <c r="P15" i="3"/>
  <c r="P16" i="3" s="1"/>
  <c r="P12" i="3"/>
  <c r="P13" i="3" s="1"/>
  <c r="P19" i="3"/>
  <c r="L16" i="3" l="1"/>
  <c r="M15" i="3" s="1"/>
  <c r="M16" i="3" s="1"/>
  <c r="G20" i="3"/>
  <c r="G21" i="3" s="1"/>
  <c r="L21" i="3"/>
  <c r="L22" i="3" s="1"/>
  <c r="K21" i="3"/>
  <c r="K22" i="3" s="1"/>
  <c r="E20" i="3"/>
  <c r="E21" i="3" s="1"/>
  <c r="F20" i="3"/>
  <c r="F21" i="3" s="1"/>
  <c r="K19" i="3"/>
  <c r="M18" i="3" s="1"/>
  <c r="M19" i="3" s="1"/>
  <c r="H14" i="3"/>
  <c r="H15" i="3" s="1"/>
  <c r="M21" i="3" l="1"/>
  <c r="M22" i="3" s="1"/>
  <c r="H20" i="3"/>
  <c r="H21" i="3" s="1"/>
</calcChain>
</file>

<file path=xl/sharedStrings.xml><?xml version="1.0" encoding="utf-8"?>
<sst xmlns="http://schemas.openxmlformats.org/spreadsheetml/2006/main" count="398" uniqueCount="98">
  <si>
    <t>Ingestion</t>
  </si>
  <si>
    <t>Inhalation</t>
  </si>
  <si>
    <t>External</t>
  </si>
  <si>
    <t>Total</t>
  </si>
  <si>
    <t>Calculated</t>
  </si>
  <si>
    <t>PRG</t>
  </si>
  <si>
    <t>% Differ.</t>
  </si>
  <si>
    <t>Am-241</t>
  </si>
  <si>
    <t>Co-60</t>
  </si>
  <si>
    <t>H-3</t>
  </si>
  <si>
    <t>Pu-238</t>
  </si>
  <si>
    <t>Halflife (y)</t>
  </si>
  <si>
    <t>With Halflife Decay</t>
  </si>
  <si>
    <t>Without Halflife Decay</t>
  </si>
  <si>
    <t>Variables</t>
  </si>
  <si>
    <t>Defaults</t>
  </si>
  <si>
    <t>TR</t>
  </si>
  <si>
    <t>t(w)</t>
  </si>
  <si>
    <t>EF(w)</t>
  </si>
  <si>
    <t>ED(w)</t>
  </si>
  <si>
    <t>IRS(w)</t>
  </si>
  <si>
    <t>ET(w)</t>
  </si>
  <si>
    <t>IRA(w)</t>
  </si>
  <si>
    <t>PEF</t>
  </si>
  <si>
    <t>Q/C(wind)</t>
  </si>
  <si>
    <t>V</t>
  </si>
  <si>
    <t>U(m)</t>
  </si>
  <si>
    <t>U(t)</t>
  </si>
  <si>
    <t>F(x)</t>
  </si>
  <si>
    <t>A</t>
  </si>
  <si>
    <t>A(s)</t>
  </si>
  <si>
    <t>B</t>
  </si>
  <si>
    <t>C</t>
  </si>
  <si>
    <t>λ</t>
  </si>
  <si>
    <t>1-exp(-λt(cw))</t>
  </si>
  <si>
    <t>SF(s)</t>
  </si>
  <si>
    <t>SF(i)</t>
  </si>
  <si>
    <t>SF(ext-sv)</t>
  </si>
  <si>
    <t>GSF(o)</t>
  </si>
  <si>
    <t>ACF(ext-sv)</t>
  </si>
  <si>
    <t>SF(sub)</t>
  </si>
  <si>
    <t>Composite Worker Soil</t>
  </si>
  <si>
    <t>Composite Worker Air</t>
  </si>
  <si>
    <t>SF(ext-1cm)</t>
  </si>
  <si>
    <t>SF(ext-5cm)</t>
  </si>
  <si>
    <t>SF(ext-15cm)</t>
  </si>
  <si>
    <t>SF(ext-gp)</t>
  </si>
  <si>
    <t>GSF(o)@0cm</t>
  </si>
  <si>
    <t>ACF(ext-1cm)</t>
  </si>
  <si>
    <t>ACF(ext-5cm)</t>
  </si>
  <si>
    <t>ACF(ext-15cm)</t>
  </si>
  <si>
    <t>ACF(ext-gp)</t>
  </si>
  <si>
    <r>
      <t>Cover Layer Thickness = 0cm ; Area = 1m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</si>
  <si>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2m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</si>
  <si>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5m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</si>
  <si>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Infinite Depth</t>
  </si>
  <si>
    <t>1 cm</t>
  </si>
  <si>
    <t>5 cm</t>
  </si>
  <si>
    <t>15 cm</t>
  </si>
  <si>
    <t>Dust</t>
  </si>
  <si>
    <t>EW(w)</t>
  </si>
  <si>
    <t>DW(w)</t>
  </si>
  <si>
    <t>External Exposure</t>
  </si>
  <si>
    <t>Type</t>
  </si>
  <si>
    <t>Ground Plane</t>
  </si>
  <si>
    <t>Soil Volume</t>
  </si>
  <si>
    <t>1cm</t>
  </si>
  <si>
    <t>5cm</t>
  </si>
  <si>
    <t>15cm</t>
  </si>
  <si>
    <t>SF(imm)</t>
  </si>
  <si>
    <t>M</t>
  </si>
  <si>
    <t>Ground Plane, Area Correction Factor</t>
  </si>
  <si>
    <t>1m^2</t>
  </si>
  <si>
    <t>2m^2</t>
  </si>
  <si>
    <t>5m^2</t>
  </si>
  <si>
    <t>10m^2</t>
  </si>
  <si>
    <t>20m^2</t>
  </si>
  <si>
    <t>50m^2</t>
  </si>
  <si>
    <t>100m^2</t>
  </si>
  <si>
    <t>200m^2</t>
  </si>
  <si>
    <t>500m^2</t>
  </si>
  <si>
    <t>1000m^2</t>
  </si>
  <si>
    <t>2000m^2</t>
  </si>
  <si>
    <t>5000m^2</t>
  </si>
  <si>
    <t>10000m^2</t>
  </si>
  <si>
    <t>20000m^2</t>
  </si>
  <si>
    <t>50000m^2</t>
  </si>
  <si>
    <t>100000m^2</t>
  </si>
  <si>
    <t>Infinite</t>
  </si>
  <si>
    <t>SF(w)</t>
  </si>
  <si>
    <t>SF(f)</t>
  </si>
  <si>
    <t>Soil Worker</t>
  </si>
  <si>
    <t>Form</t>
  </si>
  <si>
    <t>F</t>
  </si>
  <si>
    <t>S</t>
  </si>
  <si>
    <t>G(elemental)</t>
  </si>
  <si>
    <t>G(organic)</t>
  </si>
  <si>
    <t>Soil Volume, Area Correction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</si>
</sst>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/>
    <xf numFmtId="11" fontId="3" fillId="0" borderId="7" xfId="0" applyNumberFormat="1" applyFont="1" applyBorder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ont="1" applyBorder="1"/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1" fontId="3" fillId="0" borderId="8" xfId="0" applyNumberFormat="1" applyFont="1" applyBorder="1"/>
    <xf numFmtId="0" fontId="3" fillId="0" borderId="13" xfId="0" applyFont="1" applyBorder="1" applyAlignment="1">
      <alignment horizontal="center" vertical="center"/>
    </xf>
    <xf numFmtId="11" fontId="3" fillId="0" borderId="11" xfId="0" applyNumberFormat="1" applyFont="1" applyBorder="1"/>
    <xf numFmtId="11" fontId="3" fillId="0" borderId="12" xfId="0" applyNumberFormat="1" applyFont="1" applyBorder="1"/>
    <xf numFmtId="0" fontId="3" fillId="0" borderId="23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11" fontId="3" fillId="0" borderId="3" xfId="0" applyNumberFormat="1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center" vertical="center"/>
    </xf>
    <xf numFmtId="11" fontId="3" fillId="0" borderId="7" xfId="0" applyNumberFormat="1" applyFon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11" fontId="6" fillId="2" borderId="11" xfId="0" applyNumberFormat="1" applyFont="1" applyFill="1" applyBorder="1" applyAlignment="1">
      <alignment horizontal="center" vertical="center"/>
    </xf>
    <xf numFmtId="11" fontId="7" fillId="3" borderId="12" xfId="0" applyNumberFormat="1" applyFont="1" applyFill="1" applyBorder="1" applyAlignment="1">
      <alignment horizontal="center" vertical="center"/>
    </xf>
    <xf numFmtId="11" fontId="8" fillId="8" borderId="3" xfId="0" applyNumberFormat="1" applyFont="1" applyFill="1" applyBorder="1" applyAlignment="1">
      <alignment horizontal="center" vertical="center"/>
    </xf>
    <xf numFmtId="11" fontId="8" fillId="8" borderId="7" xfId="0" applyNumberFormat="1" applyFont="1" applyFill="1" applyBorder="1" applyAlignment="1">
      <alignment horizontal="center" vertical="center"/>
    </xf>
    <xf numFmtId="11" fontId="8" fillId="8" borderId="11" xfId="0" applyNumberFormat="1" applyFont="1" applyFill="1" applyBorder="1" applyAlignment="1">
      <alignment horizontal="center" vertical="center"/>
    </xf>
    <xf numFmtId="0" fontId="0" fillId="0" borderId="23" xfId="0" applyBorder="1"/>
    <xf numFmtId="9" fontId="3" fillId="7" borderId="24" xfId="1" applyFont="1" applyFill="1" applyBorder="1" applyAlignment="1">
      <alignment horizontal="center" vertical="center"/>
    </xf>
    <xf numFmtId="11" fontId="3" fillId="0" borderId="3" xfId="0" applyNumberFormat="1" applyFont="1" applyBorder="1"/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12" xfId="0" applyNumberFormat="1" applyFont="1" applyBorder="1"/>
    <xf numFmtId="11" fontId="3" fillId="9" borderId="3" xfId="0" applyNumberFormat="1" applyFont="1" applyFill="1" applyBorder="1"/>
    <xf numFmtId="164" fontId="3" fillId="9" borderId="4" xfId="0" applyNumberFormat="1" applyFont="1" applyFill="1" applyBorder="1"/>
    <xf numFmtId="11" fontId="3" fillId="9" borderId="7" xfId="0" applyNumberFormat="1" applyFont="1" applyFill="1" applyBorder="1"/>
    <xf numFmtId="164" fontId="3" fillId="9" borderId="8" xfId="0" applyNumberFormat="1" applyFont="1" applyFill="1" applyBorder="1"/>
    <xf numFmtId="0" fontId="3" fillId="7" borderId="1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11" fontId="3" fillId="0" borderId="4" xfId="0" applyNumberFormat="1" applyFont="1" applyBorder="1"/>
    <xf numFmtId="11" fontId="7" fillId="2" borderId="11" xfId="0" applyNumberFormat="1" applyFont="1" applyFill="1" applyBorder="1"/>
    <xf numFmtId="11" fontId="3" fillId="8" borderId="3" xfId="0" applyNumberFormat="1" applyFont="1" applyFill="1" applyBorder="1"/>
    <xf numFmtId="11" fontId="3" fillId="8" borderId="7" xfId="0" applyNumberFormat="1" applyFont="1" applyFill="1" applyBorder="1"/>
    <xf numFmtId="0" fontId="0" fillId="0" borderId="33" xfId="0" applyBorder="1"/>
    <xf numFmtId="0" fontId="0" fillId="0" borderId="15" xfId="0" applyBorder="1"/>
    <xf numFmtId="0" fontId="0" fillId="0" borderId="35" xfId="0" applyBorder="1"/>
    <xf numFmtId="0" fontId="3" fillId="7" borderId="3" xfId="0" applyFont="1" applyFill="1" applyBorder="1" applyAlignment="1">
      <alignment horizontal="center" vertical="center"/>
    </xf>
    <xf numFmtId="164" fontId="3" fillId="0" borderId="4" xfId="1" applyNumberFormat="1" applyFont="1" applyBorder="1"/>
    <xf numFmtId="0" fontId="3" fillId="7" borderId="7" xfId="0" applyFont="1" applyFill="1" applyBorder="1" applyAlignment="1">
      <alignment horizontal="center" vertical="center"/>
    </xf>
    <xf numFmtId="164" fontId="3" fillId="0" borderId="8" xfId="1" applyNumberFormat="1" applyFont="1" applyBorder="1"/>
    <xf numFmtId="0" fontId="3" fillId="7" borderId="36" xfId="0" applyFont="1" applyFill="1" applyBorder="1" applyAlignment="1">
      <alignment horizontal="center" vertical="center"/>
    </xf>
    <xf numFmtId="11" fontId="3" fillId="0" borderId="36" xfId="0" applyNumberFormat="1" applyFont="1" applyBorder="1"/>
    <xf numFmtId="164" fontId="3" fillId="0" borderId="37" xfId="1" applyNumberFormat="1" applyFont="1" applyBorder="1"/>
    <xf numFmtId="0" fontId="3" fillId="5" borderId="28" xfId="0" applyFont="1" applyFill="1" applyBorder="1" applyAlignment="1">
      <alignment horizontal="center" vertical="center"/>
    </xf>
    <xf numFmtId="11" fontId="3" fillId="0" borderId="28" xfId="0" applyNumberFormat="1" applyFont="1" applyBorder="1"/>
    <xf numFmtId="164" fontId="3" fillId="0" borderId="29" xfId="1" applyNumberFormat="1" applyFont="1" applyBorder="1"/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64" fontId="3" fillId="0" borderId="12" xfId="1" applyNumberFormat="1" applyFont="1" applyBorder="1"/>
    <xf numFmtId="164" fontId="3" fillId="8" borderId="8" xfId="1" applyNumberFormat="1" applyFont="1" applyFill="1" applyBorder="1"/>
    <xf numFmtId="0" fontId="0" fillId="0" borderId="38" xfId="0" applyBorder="1"/>
    <xf numFmtId="0" fontId="0" fillId="0" borderId="39" xfId="0" applyBorder="1"/>
    <xf numFmtId="0" fontId="3" fillId="10" borderId="1" xfId="0" applyFont="1" applyFill="1" applyBorder="1" applyAlignment="1">
      <alignment horizontal="center" vertical="center"/>
    </xf>
    <xf numFmtId="9" fontId="3" fillId="10" borderId="34" xfId="1" applyFont="1" applyFill="1" applyBorder="1" applyAlignment="1">
      <alignment horizontal="center" vertical="center"/>
    </xf>
    <xf numFmtId="11" fontId="3" fillId="0" borderId="16" xfId="0" applyNumberFormat="1" applyFont="1" applyBorder="1" applyAlignment="1">
      <alignment horizontal="center" vertical="center"/>
    </xf>
    <xf numFmtId="11" fontId="3" fillId="0" borderId="17" xfId="0" applyNumberFormat="1" applyFont="1" applyBorder="1" applyAlignment="1">
      <alignment horizontal="center" vertical="center"/>
    </xf>
    <xf numFmtId="11" fontId="3" fillId="0" borderId="19" xfId="0" applyNumberFormat="1" applyFont="1" applyBorder="1" applyAlignment="1">
      <alignment horizontal="center" vertical="center"/>
    </xf>
    <xf numFmtId="11" fontId="3" fillId="0" borderId="18" xfId="0" applyNumberFormat="1" applyFont="1" applyBorder="1" applyAlignment="1">
      <alignment horizontal="center" vertical="center"/>
    </xf>
    <xf numFmtId="11" fontId="7" fillId="2" borderId="21" xfId="0" applyNumberFormat="1" applyFont="1" applyFill="1" applyBorder="1" applyAlignment="1">
      <alignment horizontal="center" vertical="center"/>
    </xf>
    <xf numFmtId="11" fontId="7" fillId="2" borderId="11" xfId="0" applyNumberFormat="1" applyFont="1" applyFill="1" applyBorder="1" applyAlignment="1">
      <alignment horizontal="center" vertical="center"/>
    </xf>
    <xf numFmtId="11" fontId="7" fillId="3" borderId="20" xfId="0" applyNumberFormat="1" applyFont="1" applyFill="1" applyBorder="1" applyAlignment="1">
      <alignment horizontal="center" vertical="center"/>
    </xf>
    <xf numFmtId="11" fontId="3" fillId="8" borderId="3" xfId="0" applyNumberFormat="1" applyFont="1" applyFill="1" applyBorder="1" applyAlignment="1">
      <alignment horizontal="center" vertical="center"/>
    </xf>
    <xf numFmtId="11" fontId="3" fillId="8" borderId="7" xfId="0" applyNumberFormat="1" applyFont="1" applyFill="1" applyBorder="1" applyAlignment="1">
      <alignment horizontal="center" vertical="center"/>
    </xf>
    <xf numFmtId="11" fontId="7" fillId="8" borderId="1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1" fontId="3" fillId="0" borderId="22" xfId="0" applyNumberFormat="1" applyFont="1" applyBorder="1"/>
    <xf numFmtId="11" fontId="3" fillId="0" borderId="43" xfId="0" applyNumberFormat="1" applyFont="1" applyBorder="1"/>
    <xf numFmtId="11" fontId="3" fillId="0" borderId="0" xfId="0" applyNumberFormat="1" applyFont="1" applyBorder="1"/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1" fontId="3" fillId="0" borderId="0" xfId="0" applyNumberFormat="1" applyFont="1" applyFill="1" applyBorder="1"/>
    <xf numFmtId="0" fontId="0" fillId="0" borderId="5" xfId="0" applyBorder="1"/>
    <xf numFmtId="49" fontId="6" fillId="0" borderId="0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11" fontId="0" fillId="0" borderId="0" xfId="0" applyNumberFormat="1" applyFill="1" applyBorder="1"/>
    <xf numFmtId="11" fontId="8" fillId="0" borderId="4" xfId="0" applyNumberFormat="1" applyFont="1" applyBorder="1"/>
    <xf numFmtId="11" fontId="8" fillId="0" borderId="8" xfId="0" applyNumberFormat="1" applyFont="1" applyBorder="1"/>
    <xf numFmtId="11" fontId="6" fillId="2" borderId="11" xfId="0" applyNumberFormat="1" applyFont="1" applyFill="1" applyBorder="1"/>
    <xf numFmtId="11" fontId="6" fillId="2" borderId="12" xfId="0" applyNumberFormat="1" applyFont="1" applyFill="1" applyBorder="1"/>
    <xf numFmtId="11" fontId="4" fillId="0" borderId="0" xfId="0" applyNumberFormat="1" applyFont="1" applyFill="1" applyBorder="1"/>
    <xf numFmtId="11" fontId="7" fillId="2" borderId="12" xfId="0" applyNumberFormat="1" applyFont="1" applyFill="1" applyBorder="1"/>
    <xf numFmtId="11" fontId="3" fillId="8" borderId="4" xfId="0" applyNumberFormat="1" applyFont="1" applyFill="1" applyBorder="1"/>
    <xf numFmtId="11" fontId="3" fillId="8" borderId="8" xfId="0" applyNumberFormat="1" applyFont="1" applyFill="1" applyBorder="1"/>
    <xf numFmtId="11" fontId="6" fillId="8" borderId="11" xfId="0" applyNumberFormat="1" applyFont="1" applyFill="1" applyBorder="1"/>
    <xf numFmtId="11" fontId="6" fillId="8" borderId="12" xfId="0" applyNumberFormat="1" applyFont="1" applyFill="1" applyBorder="1"/>
    <xf numFmtId="0" fontId="3" fillId="0" borderId="2" xfId="0" applyFont="1" applyBorder="1"/>
    <xf numFmtId="0" fontId="0" fillId="0" borderId="47" xfId="0" applyBorder="1"/>
    <xf numFmtId="0" fontId="3" fillId="7" borderId="47" xfId="0" applyFont="1" applyFill="1" applyBorder="1" applyAlignment="1">
      <alignment horizontal="center" vertical="center"/>
    </xf>
    <xf numFmtId="9" fontId="3" fillId="7" borderId="34" xfId="1" applyFont="1" applyFill="1" applyBorder="1" applyAlignment="1">
      <alignment horizontal="center" vertical="center"/>
    </xf>
    <xf numFmtId="0" fontId="0" fillId="0" borderId="0" xfId="0" applyBorder="1"/>
    <xf numFmtId="0" fontId="3" fillId="5" borderId="47" xfId="0" applyFont="1" applyFill="1" applyBorder="1" applyAlignment="1">
      <alignment horizontal="center" vertical="center"/>
    </xf>
    <xf numFmtId="9" fontId="3" fillId="5" borderId="34" xfId="1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1" fontId="8" fillId="0" borderId="11" xfId="0" applyNumberFormat="1" applyFont="1" applyBorder="1"/>
    <xf numFmtId="164" fontId="8" fillId="0" borderId="12" xfId="1" applyNumberFormat="1" applyFont="1" applyBorder="1"/>
    <xf numFmtId="11" fontId="8" fillId="8" borderId="3" xfId="0" applyNumberFormat="1" applyFont="1" applyFill="1" applyBorder="1"/>
    <xf numFmtId="164" fontId="8" fillId="8" borderId="4" xfId="1" applyNumberFormat="1" applyFont="1" applyFill="1" applyBorder="1"/>
    <xf numFmtId="11" fontId="8" fillId="8" borderId="7" xfId="0" applyNumberFormat="1" applyFont="1" applyFill="1" applyBorder="1"/>
    <xf numFmtId="164" fontId="8" fillId="8" borderId="8" xfId="1" applyNumberFormat="1" applyFont="1" applyFill="1" applyBorder="1"/>
    <xf numFmtId="11" fontId="8" fillId="8" borderId="11" xfId="0" applyNumberFormat="1" applyFont="1" applyFill="1" applyBorder="1"/>
    <xf numFmtId="164" fontId="8" fillId="8" borderId="12" xfId="1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11" fontId="8" fillId="0" borderId="3" xfId="0" applyNumberFormat="1" applyFont="1" applyBorder="1"/>
    <xf numFmtId="164" fontId="8" fillId="0" borderId="4" xfId="1" applyNumberFormat="1" applyFont="1" applyBorder="1"/>
    <xf numFmtId="11" fontId="8" fillId="0" borderId="7" xfId="0" applyNumberFormat="1" applyFont="1" applyBorder="1"/>
    <xf numFmtId="0" fontId="0" fillId="6" borderId="50" xfId="0" applyFill="1" applyBorder="1"/>
    <xf numFmtId="0" fontId="3" fillId="6" borderId="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0" fillId="0" borderId="50" xfId="0" applyBorder="1"/>
    <xf numFmtId="0" fontId="0" fillId="0" borderId="0" xfId="0" applyBorder="1" applyAlignment="1">
      <alignment horizontal="center" vertical="center"/>
    </xf>
    <xf numFmtId="11" fontId="0" fillId="0" borderId="0" xfId="0" applyNumberFormat="1" applyBorder="1"/>
    <xf numFmtId="11" fontId="0" fillId="0" borderId="35" xfId="0" applyNumberFormat="1" applyBorder="1"/>
    <xf numFmtId="0" fontId="0" fillId="11" borderId="50" xfId="0" applyFill="1" applyBorder="1"/>
    <xf numFmtId="0" fontId="3" fillId="11" borderId="0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0" fillId="0" borderId="51" xfId="0" applyBorder="1"/>
    <xf numFmtId="0" fontId="0" fillId="0" borderId="52" xfId="0" applyBorder="1" applyAlignment="1">
      <alignment horizontal="center" vertical="center"/>
    </xf>
    <xf numFmtId="11" fontId="0" fillId="0" borderId="52" xfId="0" applyNumberFormat="1" applyBorder="1"/>
    <xf numFmtId="11" fontId="0" fillId="0" borderId="53" xfId="0" applyNumberFormat="1" applyBorder="1"/>
    <xf numFmtId="0" fontId="0" fillId="5" borderId="50" xfId="0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12" borderId="50" xfId="0" applyFill="1" applyBorder="1"/>
    <xf numFmtId="0" fontId="3" fillId="12" borderId="0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0" fillId="2" borderId="5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1" fontId="0" fillId="0" borderId="35" xfId="0" applyNumberFormat="1" applyFont="1" applyFill="1" applyBorder="1" applyAlignment="1">
      <alignment horizontal="right" vertical="center"/>
    </xf>
    <xf numFmtId="11" fontId="0" fillId="0" borderId="35" xfId="0" applyNumberFormat="1" applyBorder="1" applyAlignment="1">
      <alignment horizontal="righ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4" fillId="10" borderId="40" xfId="0" applyFont="1" applyFill="1" applyBorder="1" applyAlignment="1">
      <alignment horizontal="center"/>
    </xf>
    <xf numFmtId="0" fontId="4" fillId="10" borderId="41" xfId="0" applyFont="1" applyFill="1" applyBorder="1" applyAlignment="1">
      <alignment horizontal="center"/>
    </xf>
    <xf numFmtId="0" fontId="4" fillId="10" borderId="4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6" fillId="7" borderId="46" xfId="0" applyNumberFormat="1" applyFont="1" applyFill="1" applyBorder="1" applyAlignment="1">
      <alignment horizontal="center"/>
    </xf>
    <xf numFmtId="49" fontId="6" fillId="7" borderId="26" xfId="0" applyNumberFormat="1" applyFont="1" applyFill="1" applyBorder="1" applyAlignment="1">
      <alignment horizontal="center"/>
    </xf>
    <xf numFmtId="49" fontId="6" fillId="7" borderId="27" xfId="0" applyNumberFormat="1" applyFont="1" applyFill="1" applyBorder="1" applyAlignment="1">
      <alignment horizontal="center"/>
    </xf>
    <xf numFmtId="49" fontId="6" fillId="5" borderId="46" xfId="0" applyNumberFormat="1" applyFont="1" applyFill="1" applyBorder="1" applyAlignment="1">
      <alignment horizontal="center"/>
    </xf>
    <xf numFmtId="49" fontId="6" fillId="5" borderId="26" xfId="0" applyNumberFormat="1" applyFont="1" applyFill="1" applyBorder="1" applyAlignment="1">
      <alignment horizontal="center"/>
    </xf>
    <xf numFmtId="49" fontId="6" fillId="5" borderId="27" xfId="0" applyNumberFormat="1" applyFont="1" applyFill="1" applyBorder="1" applyAlignment="1">
      <alignment horizontal="center"/>
    </xf>
    <xf numFmtId="49" fontId="6" fillId="10" borderId="46" xfId="0" applyNumberFormat="1" applyFont="1" applyFill="1" applyBorder="1" applyAlignment="1">
      <alignment horizontal="center"/>
    </xf>
    <xf numFmtId="49" fontId="6" fillId="10" borderId="26" xfId="0" applyNumberFormat="1" applyFont="1" applyFill="1" applyBorder="1" applyAlignment="1">
      <alignment horizontal="center"/>
    </xf>
    <xf numFmtId="49" fontId="6" fillId="10" borderId="2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0" fillId="11" borderId="49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33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7407</xdr:colOff>
      <xdr:row>1</xdr:row>
      <xdr:rowOff>134408</xdr:rowOff>
    </xdr:from>
    <xdr:ext cx="9136594" cy="35993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0808757" y="324908"/>
              <a:ext cx="9136594" cy="3599392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>
                  <a:latin typeface="+mn-lt"/>
                </a:rPr>
                <a:t>Ingestion of soil</a:t>
              </a:r>
            </a:p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en-US" sz="1100" b="0" i="0">
                      <a:latin typeface="Calibri" panose="020F0502020204030204" pitchFamily="34" charset="0"/>
                    </a:rPr>
                    <m:t>PR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</a:rPr>
                        <m:t>G</m:t>
                      </m:r>
                    </m:e>
                    <m:sub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</a:rPr>
                        <m:t>w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</a:rPr>
                        <m:t>−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</a:rPr>
                        <m:t>soil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</a:rPr>
                        <m:t>−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</a:rPr>
                        <m:t>ing</m:t>
                      </m:r>
                    </m:sub>
                  </m:sSub>
                  <m:d>
                    <m:dPr>
                      <m:ctrlPr>
                        <a:rPr lang="en-US" sz="1100" b="0" i="1">
                          <a:latin typeface="Cambria Math"/>
                        </a:rPr>
                      </m:ctrlPr>
                    </m:dPr>
                    <m:e>
                      <m:f>
                        <m:fPr>
                          <m:type m:val="lin"/>
                          <m:ctrlPr>
                            <a:rPr lang="en-US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</a:rPr>
                            <m:t>pCi</m:t>
                          </m:r>
                        </m:num>
                        <m:den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</a:rPr>
                            <m:t>g</m:t>
                          </m:r>
                        </m:den>
                      </m:f>
                    </m:e>
                  </m:d>
                  <m:r>
                    <m:rPr>
                      <m:nor/>
                    </m:rPr>
                    <a:rPr lang="en-US" sz="1100" b="0" i="0">
                      <a:latin typeface="Calibri" panose="020F0502020204030204" pitchFamily="34" charset="0"/>
                    </a:rPr>
                    <m:t>=</m:t>
                  </m:r>
                  <m:f>
                    <m:fPr>
                      <m:ctrlPr>
                        <a:rPr lang="en-US" sz="1100" b="0" i="1">
                          <a:latin typeface="Cambria Math"/>
                          <a:ea typeface="Cambria Math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TR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sSub>
                        <m:sSub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t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yr</m:t>
                          </m:r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λ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latin typeface="Cambria Math"/>
                                  <a:ea typeface="Cambria Math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1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yr</m:t>
                              </m:r>
                            </m:den>
                          </m:f>
                        </m:e>
                      </m:d>
                    </m:num>
                    <m:den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1−</m:t>
                          </m:r>
                          <m:sSup>
                            <m:sSupPr>
                              <m:ctrlPr>
                                <a:rPr lang="en-US" sz="1100" b="0" i="1">
                                  <a:latin typeface="Cambria Math"/>
                                  <a:ea typeface="Cambria Math"/>
                                </a:rPr>
                              </m:ctrlPr>
                            </m:sSupPr>
                            <m:e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e</m:t>
                              </m:r>
                            </m:e>
                            <m:sup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−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λ</m:t>
                              </m:r>
                              <m:sSub>
                                <m:sSubPr>
                                  <m:ctrlPr>
                                    <a:rPr lang="en-US" sz="1100" b="0" i="1">
                                      <a:latin typeface="Cambria Math"/>
                                      <a:ea typeface="Cambria Math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latin typeface="Calibri" panose="020F0502020204030204" pitchFamily="34" charset="0"/>
                                      <a:ea typeface="Cambria Math"/>
                                    </a:rPr>
                                    <m:t>t</m:t>
                                  </m:r>
                                </m:e>
                                <m:sub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latin typeface="Calibri" panose="020F0502020204030204" pitchFamily="34" charset="0"/>
                                      <a:ea typeface="Cambria Math"/>
                                    </a:rPr>
                                    <m:t>w</m:t>
                                  </m:r>
                                </m:sub>
                              </m:sSub>
                            </m:sup>
                          </m:sSup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S</m:t>
                      </m:r>
                      <m:sSub>
                        <m:sSub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F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s</m:t>
                          </m:r>
                        </m:sub>
                      </m:sSub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latin typeface="Cambria Math"/>
                                  <a:ea typeface="Cambria Math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risk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pCi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E</m:t>
                      </m:r>
                      <m:sSub>
                        <m:sSub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F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latin typeface="Cambria Math"/>
                                  <a:ea typeface="Cambria Math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250 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day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yr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E</m:t>
                      </m:r>
                      <m:sSub>
                        <m:sSub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D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25 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yr</m:t>
                          </m:r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IR</m:t>
                      </m:r>
                      <m:sSub>
                        <m:sSub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S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latin typeface="Calibri" panose="020F0502020204030204" pitchFamily="34" charset="0"/>
                              <a:ea typeface="Cambria Math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latin typeface="Cambria Math"/>
                                  <a:ea typeface="Cambria Math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100 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mg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day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latin typeface="Cambria Math"/>
                              <a:ea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latin typeface="Cambria Math"/>
                                  <a:ea typeface="Cambria Math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g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1000 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latin typeface="Calibri" panose="020F0502020204030204" pitchFamily="34" charset="0"/>
                                  <a:ea typeface="Cambria Math"/>
                                </a:rPr>
                                <m:t>mg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latin typeface="Calibri" panose="020F0502020204030204" pitchFamily="34" charset="0"/>
                          <a:ea typeface="Cambria Math"/>
                        </a:rPr>
                        <m:t>  </m:t>
                      </m:r>
                    </m:den>
                  </m:f>
                </m:oMath>
              </a14:m>
              <a:r>
                <a:rPr lang="en-US" sz="1100">
                  <a:latin typeface="Calibri" panose="020F0502020204030204" pitchFamily="34" charset="0"/>
                </a:rPr>
                <a:t> </a:t>
              </a: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of particulates emitted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from soil</a:t>
              </a:r>
              <a:endParaRPr lang="en-US">
                <a:effectLst/>
              </a:endParaRPr>
            </a:p>
            <a:p>
              <a:pPr algn="l"/>
              <a14:m>
                <m:oMath xmlns:m="http://schemas.openxmlformats.org/officeDocument/2006/math">
                  <m:r>
                    <m:rPr>
                      <m:nor/>
                    </m:rPr>
                    <a:rPr lang="en-US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PR</m:t>
                  </m:r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G</m:t>
                      </m:r>
                    </m:e>
                    <m:sub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w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soil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−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inh</m:t>
                      </m:r>
                    </m:sub>
                  </m:sSub>
                  <m:d>
                    <m:d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type m:val="lin"/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pCi</m:t>
                          </m:r>
                        </m:num>
                        <m:den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g</m:t>
                          </m:r>
                        </m:den>
                      </m:f>
                    </m:e>
                  </m:d>
                  <m:r>
                    <m:rPr>
                      <m:nor/>
                    </m:rPr>
                    <a:rPr lang="en-US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begChr m:val=""/>
                          <m:endChr m:val=""/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TR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x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 </m:t>
                          </m:r>
                          <m:sSub>
                            <m:sSub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t</m:t>
                              </m:r>
                            </m:e>
                            <m:sub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w</m:t>
                              </m:r>
                            </m:sub>
                          </m:sSub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yr</m:t>
                              </m:r>
                            </m:e>
                          </m:d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x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λ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 </m:t>
                          </m:r>
                          <m:d>
                            <m:d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num>
                                <m:den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yr</m:t>
                                  </m:r>
                                </m:den>
                              </m:f>
                            </m:e>
                          </m:d>
                        </m:e>
                      </m:d>
                    </m:num>
                    <m:den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1−</m:t>
                          </m:r>
                          <m:sSup>
                            <m:sSup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e</m:t>
                              </m:r>
                            </m:e>
                            <m:sup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λ</m:t>
                              </m:r>
                              <m:sSub>
                                <m:sSubPr>
                                  <m:ctrlP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t</m:t>
                                  </m:r>
                                </m:e>
                                <m:sub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w</m:t>
                                  </m:r>
                                </m:sub>
                              </m:sSub>
                            </m:sup>
                          </m:sSup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S</m:t>
                      </m:r>
                      <m:sSub>
                        <m:sSub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F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i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risk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pCi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E</m:t>
                      </m:r>
                      <m:sSub>
                        <m:sSub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F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250 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day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yr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E</m:t>
                      </m:r>
                      <m:sSub>
                        <m:sSub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D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25 </m:t>
                          </m:r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yr</m:t>
                          </m:r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E</m:t>
                      </m:r>
                      <m:sSub>
                        <m:sSub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T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8 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hrs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day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1 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day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24 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hrs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IR</m:t>
                      </m:r>
                      <m:sSub>
                        <m:sSub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A</m:t>
                          </m:r>
                        </m:e>
                        <m:sub>
                          <m:r>
                            <m:rPr>
                              <m:nor/>
                            </m:rPr>
                            <a:rPr lang="en-US" sz="1100" b="0" i="0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w</m:t>
                          </m:r>
                        </m:sub>
                      </m:sSub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60 </m:t>
                              </m:r>
                              <m:sSup>
                                <m:sSupPr>
                                  <m:ctrlP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m</m:t>
                                  </m:r>
                                </m:e>
                                <m:sup>
                                  <m:r>
                                    <m:rPr>
                                      <m:nor/>
                                    </m:rPr>
                                    <a:rPr lang="en-US" sz="1100" b="0" i="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p>
                              </m:sSup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day</m:t>
                              </m:r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PEF</m:t>
                              </m:r>
                              <m:d>
                                <m:dPr>
                                  <m:ctrlPr>
                                    <a:rPr 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f>
                                    <m:fPr>
                                      <m:ctrlPr>
                                        <a:rPr lang="en-US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sSup>
                                        <m:sSupPr>
                                          <m:ctrlPr>
                                            <a:rPr lang="en-US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m:rPr>
                                              <m:nor/>
                                            </m:rPr>
                                            <a:rPr lang="en-US" sz="1100" b="0" i="0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m</m:t>
                                          </m:r>
                                        </m:e>
                                        <m:sup>
                                          <m:r>
                                            <m:rPr>
                                              <m:nor/>
                                            </m:rPr>
                                            <a:rPr lang="en-US" sz="1100" b="0" i="0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+mn-lt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m:rPr>
                                          <m:nor/>
                                        </m:rPr>
                                        <a:rPr lang="en-US" sz="1100" b="0" i="0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kg</m:t>
                                      </m:r>
                                    </m:den>
                                  </m:f>
                                </m:e>
                              </m:d>
                            </m:den>
                          </m:f>
                        </m:e>
                      </m:d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x</m:t>
                      </m:r>
                      <m:r>
                        <m:rPr>
                          <m:nor/>
                        </m:rP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1000</m:t>
                              </m:r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g</m:t>
                              </m:r>
                            </m:num>
                            <m:den>
                              <m:r>
                                <m:rPr>
                                  <m:nor/>
                                </m:rPr>
                                <a:rPr lang="en-US" sz="1100" b="0" i="0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kg</m:t>
                              </m:r>
                            </m:den>
                          </m:f>
                        </m:e>
                      </m:d>
                    </m:den>
                  </m:f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 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n-US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</m:t>
                  </m:r>
                </m:oMath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exposure to ionizing radiation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ext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sv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sv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soil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tot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PR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soil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ing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PR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soil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inh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PR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soil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>
                  <a:latin typeface="Calibri" panose="020F0502020204030204" pitchFamily="34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0808757" y="324908"/>
              <a:ext cx="9136594" cy="3599392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>
                  <a:latin typeface="+mn-lt"/>
                </a:rPr>
                <a:t>Ingestion of soil</a:t>
              </a:r>
            </a:p>
            <a:p>
              <a:r>
                <a:rPr lang="en-US" sz="1100" b="0" i="0">
                  <a:latin typeface="Cambria Math"/>
                </a:rPr>
                <a:t>"PR" </a:t>
              </a:r>
              <a:r>
                <a:rPr lang="en-US" sz="1100" b="0" i="0">
                  <a:latin typeface="Calibri" panose="020F0502020204030204" pitchFamily="34" charset="0"/>
                </a:rPr>
                <a:t>"G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w−soil−ing</a:t>
              </a:r>
              <a:r>
                <a:rPr lang="en-US" sz="1100" b="0" i="0">
                  <a:latin typeface="Cambria Math"/>
                </a:rPr>
                <a:t>"  ("</a:t>
              </a:r>
              <a:r>
                <a:rPr lang="en-US" sz="1100" b="0" i="0">
                  <a:latin typeface="Calibri" panose="020F0502020204030204" pitchFamily="34" charset="0"/>
                </a:rPr>
                <a:t>pCi</a:t>
              </a:r>
              <a:r>
                <a:rPr lang="en-US" sz="1100" b="0" i="0">
                  <a:latin typeface="Cambria Math"/>
                </a:rPr>
                <a:t>" ∕"</a:t>
              </a:r>
              <a:r>
                <a:rPr lang="en-US" sz="1100" b="0" i="0">
                  <a:latin typeface="Calibri" panose="020F0502020204030204" pitchFamily="34" charset="0"/>
                </a:rPr>
                <a:t>g</a:t>
              </a:r>
              <a:r>
                <a:rPr lang="en-US" sz="1100" b="0" i="0">
                  <a:latin typeface="Cambria Math"/>
                </a:rPr>
                <a:t>" )"=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TR x 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t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λ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1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>
                  <a:latin typeface="Cambria Math"/>
                  <a:ea typeface="Cambria Math"/>
                </a:rPr>
                <a:t>" ))/(("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1−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e</a:t>
              </a:r>
              <a:r>
                <a:rPr lang="en-US" sz="1100" b="0" i="0">
                  <a:latin typeface="Cambria Math"/>
                  <a:ea typeface="Cambria Math"/>
                </a:rPr>
                <a:t>" ^("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−λ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t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)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S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s</a:t>
              </a:r>
              <a:r>
                <a:rPr lang="en-US" sz="1100" b="0" i="0">
                  <a:latin typeface="Cambria Math"/>
                  <a:ea typeface="Cambria Math"/>
                </a:rPr>
                <a:t>" 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risk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pCi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E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250 day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E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D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25 yr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IR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S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100 mg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day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g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1000 mg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 </a:t>
              </a:r>
              <a:r>
                <a:rPr lang="en-US" sz="1100" b="0" i="0">
                  <a:latin typeface="Cambria Math"/>
                  <a:ea typeface="Cambria Math"/>
                </a:rPr>
                <a:t>" )</a:t>
              </a:r>
              <a:r>
                <a:rPr lang="en-US" sz="1100">
                  <a:latin typeface="Calibri" panose="020F0502020204030204" pitchFamily="34" charset="0"/>
                </a:rPr>
                <a:t> </a:t>
              </a: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Inhalation of particulates emitted</a:t>
              </a:r>
              <a:r>
                <a:rPr lang="en-US" sz="1100" b="1" u="sng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from soil</a:t>
              </a:r>
              <a:endParaRPr lang="en-US">
                <a:effectLst/>
              </a:endParaRPr>
            </a:p>
            <a:p>
              <a:pPr algn="l"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_"w−soil−inh" 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_"w"  " " ("yr" )" x λ " ("1" /"yr" )┤/(("1−" "e" ^("−λ" "t" _"w"  ) )" x S" "F" _"i"  " " ("risk" /"pCi" )" x E" "F" _"w"  " " ("250 day" /"yr" )" x E" "D" _"w"  " " ("25 yr" )" x E" "T" _"w"  " " ("8 hrs" /"day" )" x " ("1 day" /"24 hrs" )" x IR" "A" _"w"  " " (("60 " "m" ^"3" )/"day" )" x " ("1" /"PEF" ("m" ^"3" /"kg" ) )" x " ("1000g" /"kg" ) )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exposure to ionizing radiation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"PRGw−soil−ext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_"w"  " " ("yr" )" x λ " ("1" /"yr" )┤/(("1−" "e" ^("−λ" "t" _"w"  ) )" x S" "F" _"ext−sv"  " " (("risk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∕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)/├ "pCi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∕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"g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┤ )" x E" "F" _"w"  " " ("250 day" /"yr" )" x " ("1yr" /"365 days" )" x E" "D" _"w"  " " ("25 yr" )" x " ├ ├ "E" "T" _"w"  " " ("8 hrs" /"day" )" x " ("1 day" /"24 hr" )" x GS" "F" _"o"  " " ("1.0" )  "x AC" "F" _"ext−sv"  ┤┤ )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_"w−soil−tot"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"1" /("1" /("PR" "G" _"w−soil−ing"  ))"+" ("1" /("PR" "G" _"w−soil−inh"  ))"+" ("1" /("PR" "G" _"w−soil−ext"  )) </a:t>
              </a:r>
              <a:endParaRPr lang="en-US">
                <a:effectLst/>
              </a:endParaRPr>
            </a:p>
            <a:p>
              <a:r>
                <a:rPr lang="en-US" sz="1100">
                  <a:latin typeface="Calibri" panose="020F0502020204030204" pitchFamily="34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16</xdr:col>
      <xdr:colOff>600075</xdr:colOff>
      <xdr:row>20</xdr:row>
      <xdr:rowOff>200024</xdr:rowOff>
    </xdr:from>
    <xdr:ext cx="9153525" cy="2543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0791825" y="4114799"/>
              <a:ext cx="9153525" cy="25431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Inhalation (with half-life</a:t>
              </a:r>
              <a:r>
                <a:rPr lang="en-US" sz="1100" b="1" u="sng" baseline="0"/>
                <a:t> decay)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w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inh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</a:rPr>
                          <m:t>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Calibri" panose="020F0502020204030204" pitchFamily="34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i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hours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Calibri" panose="020F0502020204030204" pitchFamily="34" charset="0"/>
                                <a:ea typeface="Cambria Math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60 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3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Calibri" panose="020F0502020204030204" pitchFamily="34" charset="0"/>
                                    <a:ea typeface="Cambria Math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Calibri" panose="020F0502020204030204" pitchFamily="34" charset="0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(with half-life decay)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tot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inh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decay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sub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decay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(with half-life decay)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sub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sub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pCi</m:t>
                                    </m:r>
                                  </m:num>
                                  <m:den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e>
                                      <m:sup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sup>
                                    </m:sSup>
                                  </m:den>
                                </m:f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1.0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endParaRPr lang="en-US" sz="1100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791825" y="4114799"/>
              <a:ext cx="9153525" cy="254317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Inhalation (with half-life</a:t>
              </a:r>
              <a:r>
                <a:rPr lang="en-US" sz="1100" b="1" u="sng" baseline="0"/>
                <a:t> decay)</a:t>
              </a:r>
            </a:p>
            <a:p>
              <a:pPr/>
              <a:r>
                <a:rPr lang="en-US" sz="1100" b="0" i="0">
                  <a:latin typeface="Cambria Math"/>
                </a:rPr>
                <a:t>"PR" </a:t>
              </a:r>
              <a:r>
                <a:rPr lang="en-US" sz="1100" b="0" i="0">
                  <a:latin typeface="Calibri" panose="020F0502020204030204" pitchFamily="34" charset="0"/>
                </a:rPr>
                <a:t>"G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w−air−inh−decay</a:t>
              </a:r>
              <a:r>
                <a:rPr lang="en-US" sz="1100" b="0" i="0">
                  <a:latin typeface="Cambria Math"/>
                </a:rPr>
                <a:t>"  " " ("</a:t>
              </a:r>
              <a:r>
                <a:rPr lang="en-US" sz="1100" b="0" i="0">
                  <a:latin typeface="Calibri" panose="020F0502020204030204" pitchFamily="34" charset="0"/>
                </a:rPr>
                <a:t>pCi</a:t>
              </a:r>
              <a:r>
                <a:rPr lang="en-US" sz="1100" b="0" i="0">
                  <a:latin typeface="Cambria Math"/>
                </a:rPr>
                <a:t>" ∕"</a:t>
              </a:r>
              <a:r>
                <a:rPr lang="en-US" sz="1100" b="0" i="0">
                  <a:latin typeface="Calibri" panose="020F0502020204030204" pitchFamily="34" charset="0"/>
                </a:rPr>
                <a:t>m</a:t>
              </a:r>
              <a:r>
                <a:rPr lang="en-US" sz="1100" b="0" i="0">
                  <a:latin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</a:rPr>
                <a:t>3</a:t>
              </a:r>
              <a:r>
                <a:rPr lang="en-US" sz="1100" b="0" i="0">
                  <a:latin typeface="Cambria Math"/>
                </a:rPr>
                <a:t>"  )"=</a:t>
              </a:r>
              <a:r>
                <a:rPr lang="en-US" sz="1100" b="0" i="0">
                  <a:latin typeface="Cambria Math"/>
                  <a:ea typeface="Cambria Math"/>
                </a:rPr>
                <a:t>" </a:t>
              </a:r>
              <a:r>
                <a:rPr lang="en-US" sz="1100" b="0" i="0">
                  <a:latin typeface="Cambria Math"/>
                </a:rPr>
                <a:t> ├ "</a:t>
              </a:r>
              <a:r>
                <a:rPr lang="en-US" sz="1100" b="0" i="0">
                  <a:latin typeface="Calibri" panose="020F0502020204030204" pitchFamily="34" charset="0"/>
                </a:rPr>
                <a:t>TR x </a:t>
              </a:r>
              <a:r>
                <a:rPr lang="en-US" sz="1100" b="0" i="0">
                  <a:latin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</a:rPr>
                <a:t>t</a:t>
              </a:r>
              <a:r>
                <a:rPr lang="en-US" sz="1100" b="0" i="0">
                  <a:latin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</a:rPr>
                <a:t>w</a:t>
              </a:r>
              <a:r>
                <a:rPr lang="en-US" sz="1100" b="0" i="0">
                  <a:latin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</a:rPr>
                <a:t> </a:t>
              </a:r>
              <a:r>
                <a:rPr lang="en-US" sz="1100" b="0" i="0">
                  <a:latin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</a:rPr>
                <a:t>yr</a:t>
              </a:r>
              <a:r>
                <a:rPr lang="en-US" sz="1100" b="0" i="0">
                  <a:latin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</a:rPr>
                <a:t> x 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λ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1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>
                  <a:latin typeface="Cambria Math"/>
                  <a:ea typeface="Cambria Math"/>
                </a:rPr>
                <a:t>" )┤/(("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1−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e</a:t>
              </a:r>
              <a:r>
                <a:rPr lang="en-US" sz="1100" b="0" i="0">
                  <a:latin typeface="Cambria Math"/>
                  <a:ea typeface="Cambria Math"/>
                </a:rPr>
                <a:t>" ^("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−λ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t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)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S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i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risk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pCi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E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250 day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E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D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25 yr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x E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T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8 hr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day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</a:t>
              </a:r>
              <a:r>
                <a:rPr lang="en-US" sz="1100" b="0" i="0">
                  <a:latin typeface="Cambria Math"/>
                  <a:ea typeface="Cambria Math"/>
                </a:rPr>
                <a:t>" 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1 day</a:t>
              </a:r>
              <a:r>
                <a:rPr lang="en-US" sz="1100" b="0" i="0">
                  <a:latin typeface="Cambria Math"/>
                  <a:ea typeface="Cambria Math"/>
                </a:rPr>
                <a:t>" 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24 hours</a:t>
              </a:r>
              <a:r>
                <a:rPr lang="en-US" sz="1100" b="0" i="0">
                  <a:latin typeface="Cambria Math"/>
                  <a:ea typeface="Cambria Math"/>
                </a:rPr>
                <a:t>" )"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x IR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A</a:t>
              </a:r>
              <a:r>
                <a:rPr lang="en-US" sz="1100" b="0" i="0">
                  <a:latin typeface="Cambria Math"/>
                  <a:ea typeface="Cambria Math"/>
                </a:rPr>
                <a:t>" _"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>
                  <a:latin typeface="Cambria Math"/>
                  <a:ea typeface="Cambria Math"/>
                </a:rPr>
                <a:t>" 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>
                  <a:latin typeface="Cambria Math"/>
                  <a:ea typeface="Cambria Math"/>
                </a:rPr>
                <a:t>" (("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60 </a:t>
              </a:r>
              <a:r>
                <a:rPr lang="en-US" sz="1100" b="0" i="0">
                  <a:latin typeface="Cambria Math"/>
                  <a:ea typeface="Cambria Math"/>
                </a:rPr>
                <a:t>" 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m</a:t>
              </a:r>
              <a:r>
                <a:rPr lang="en-US" sz="1100" b="0" i="0">
                  <a:latin typeface="Cambria Math"/>
                  <a:ea typeface="Cambria Math"/>
                </a:rPr>
                <a:t>" ^"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3</a:t>
              </a:r>
              <a:r>
                <a:rPr lang="en-US" sz="1100" b="0" i="0">
                  <a:latin typeface="Cambria Math"/>
                  <a:ea typeface="Cambria Math"/>
                </a:rPr>
                <a:t>" )/"</a:t>
              </a:r>
              <a:r>
                <a:rPr lang="en-US" sz="1100" b="0" i="0">
                  <a:latin typeface="Calibri" panose="020F0502020204030204" pitchFamily="34" charset="0"/>
                  <a:ea typeface="Cambria Math"/>
                </a:rPr>
                <a:t>day</a:t>
              </a:r>
              <a:r>
                <a:rPr lang="en-US" sz="1100" b="0" i="0">
                  <a:latin typeface="Cambria Math"/>
                  <a:ea typeface="Cambria Math"/>
                </a:rPr>
                <a:t>" ) )</a:t>
              </a:r>
              <a:endParaRPr lang="en-US" sz="1100">
                <a:latin typeface="Calibri" panose="020F0502020204030204" pitchFamily="34" charset="0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(with half-life decay)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_"w−air−tot−decay"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∕"m" ^"3" 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"1" /("1" /("PR" "G" _"w−air−inh−decay"  ) "+"  "1" /("PR" "G" _"w−air−sub−decay"  ) " " )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(with half-life decay)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_"w−air−sub−decay"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∕"m" ^"3" 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_"w"  " " ("yr" )" x λ " ("1" /"yr" )┤/(("1−" "e" ^("−λ" "t" _"w"  ) )" x S" "F" _"sub"  " " (("risk" ∕"yr" )/("pCi" ∕"m" ^"3"  ))" x E" "F" _"w"  " " ("250 day" /"yr" )" x " (├ "1 yr" ┤/"365 days" )" x E" "D" _"w"  " " ("25 yr" )" x E" "T" _"w"  " " ("8 hr" /"day" )" x " ("1 day" /"24 hrs" )" x GS" "F" _"a"  " " ("1.0" ) )</a:t>
              </a:r>
              <a:endParaRPr lang="en-US">
                <a:effectLst/>
              </a:endParaRPr>
            </a:p>
            <a:p>
              <a:pPr/>
              <a:endParaRPr lang="en-US" sz="1100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  <xdr:oneCellAnchor>
    <xdr:from>
      <xdr:col>17</xdr:col>
      <xdr:colOff>0</xdr:colOff>
      <xdr:row>35</xdr:row>
      <xdr:rowOff>0</xdr:rowOff>
    </xdr:from>
    <xdr:ext cx="9163050" cy="2305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0801350" y="6858000"/>
              <a:ext cx="9163050" cy="230505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Inhalation (without half-life</a:t>
              </a:r>
              <a:r>
                <a:rPr lang="en-US" sz="1100" b="1" u="sng" baseline="0"/>
                <a:t> decay)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inh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nodecay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</m:e>
                        </m:d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risk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pCi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hours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IR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60 </m:t>
                                </m:r>
                                <m:sSup>
                                  <m:sSup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>
                <a:latin typeface="Calibri" panose="020F0502020204030204" pitchFamily="34" charset="0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(without half-life decay)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sub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nodecay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</m:e>
                        </m:d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sub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pCi</m:t>
                                    </m:r>
                                  </m:num>
                                  <m:den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e>
                                      <m:sup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sup>
                                    </m:sSup>
                                  </m:den>
                                </m:f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1 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8 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24 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hrs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a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1.0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(without half-life decay)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w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air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tot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nodecay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m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inh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nodecay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PR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air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sub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nodecay</m:t>
                                </m:r>
                              </m:sub>
                            </m:sSub>
                          </m:den>
                        </m:f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endParaRPr lang="en-US" sz="1100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0801350" y="6858000"/>
              <a:ext cx="9163050" cy="230505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/>
                <a:t>Inhalation (without half-life</a:t>
              </a:r>
              <a:r>
                <a:rPr lang="en-US" sz="1100" b="1" u="sng" baseline="0"/>
                <a:t> decay)</a:t>
              </a: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"G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"w−air−inh−nodecay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"pCi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∕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 )"="  ├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┤/(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"F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"risk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"pCi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"F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"250 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"25 yr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"x E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"8 hr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 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"24 hours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x IR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"A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"w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"60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"day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 )</a:t>
              </a:r>
              <a:endParaRPr lang="en-US" sz="1100">
                <a:latin typeface="Calibri" panose="020F0502020204030204" pitchFamily="34" charset="0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External (without half-life decay)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_"w−air−sub−nodecay"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∕"m" ^"3" 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"TR" ┤/("S" "F" _"sub"  " " (("risk" ∕"yr" )/("pCi" ∕"m" ^"3"  ))" x E" "F" _"w"  " " ("250 day" /"yr" )" x " (├ "1 yr" ┤/"365 days" )" x E" "D" _"w"  " " ("25 yr" )" x E" "T" _"w"  " " ("8 hr" /"day" )" x " ("1 day" /"24 hrs" )" x GS" "F" _"a"  " " ("1.0" ) )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Total (without half-life decay)</a:t>
              </a:r>
              <a:endParaRPr lang="en-US">
                <a:effectLst/>
              </a:endParaRP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"G" _"w−air−tot−nodecay"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∕"m" ^"3" 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"1" /("1" /("PR" "G" _"w−air−inh−nodecay"  ) "+"  "1" /("PR" "G" _"w−air−sub−nodecay"  ) " " )</a:t>
              </a:r>
              <a:endParaRPr lang="en-US">
                <a:effectLst/>
              </a:endParaRPr>
            </a:p>
            <a:p>
              <a:pPr/>
              <a:endParaRPr lang="en-US" sz="1100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  <xdr:oneCellAnchor>
    <xdr:from>
      <xdr:col>33</xdr:col>
      <xdr:colOff>0</xdr:colOff>
      <xdr:row>2</xdr:row>
      <xdr:rowOff>0</xdr:rowOff>
    </xdr:from>
    <xdr:ext cx="4876800" cy="161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0554950" y="381000"/>
              <a:ext cx="4876800" cy="161672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1" u="sng"/>
                <a:t>Particulate Emission Factor</a:t>
              </a:r>
              <a:r>
                <a:rPr lang="en-US" sz="1100" b="1" u="sng" baseline="0"/>
                <a:t> - Wind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PE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air</m:t>
                                </m:r>
                              </m:sub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3</m:t>
                                </m:r>
                              </m:sup>
                            </m:sSub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k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soil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wind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</m:t>
                                </m:r>
                              </m:den>
                            </m:f>
                          </m:num>
                          <m:den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kg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3</m:t>
                                    </m:r>
                                  </m:sup>
                                </m:sSup>
                              </m:den>
                            </m:f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3600 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hour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0.036 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V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U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sub>
                                    </m:s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s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U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sub>
                                    </m:s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s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F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wind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A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exp</m:t>
                        </m:r>
                      </m:fName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ln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s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 </m:t>
                                        </m:r>
                                        <m:d>
                                          <m:d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acre</m:t>
                                            </m:r>
                                          </m:e>
                                        </m:d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B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US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0554950" y="381000"/>
              <a:ext cx="4876800" cy="161672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1" u="sng"/>
                <a:t>Particulate Emission Factor</a:t>
              </a:r>
              <a:r>
                <a:rPr lang="en-US" sz="1100" b="1" u="sng" baseline="0"/>
                <a:t> - Wind</a:t>
              </a:r>
            </a:p>
            <a:p>
              <a:pPr/>
              <a:r>
                <a:rPr lang="en-US" sz="1100" b="0" i="0">
                  <a:latin typeface="Cambria Math"/>
                </a:rPr>
                <a:t>"PE" </a:t>
              </a:r>
              <a:r>
                <a:rPr lang="en-US" sz="1100" b="0" i="0">
                  <a:latin typeface="+mn-lt"/>
                </a:rPr>
                <a:t>"F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"w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Cambria Math"/>
                </a:rPr>
                <a:t>" " ((</a:t>
              </a:r>
              <a:r>
                <a:rPr lang="en-US" sz="1100" b="0" i="0">
                  <a:latin typeface="+mn-lt"/>
                </a:rPr>
                <a:t>"m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"air</a:t>
              </a:r>
              <a:r>
                <a:rPr lang="en-US" sz="1100" b="0" i="0">
                  <a:latin typeface="Cambria Math"/>
                </a:rPr>
                <a:t>" ^</a:t>
              </a:r>
              <a:r>
                <a:rPr lang="en-US" sz="1100" b="0" i="0">
                  <a:latin typeface="+mn-lt"/>
                </a:rPr>
                <a:t>"3</a:t>
              </a:r>
              <a:r>
                <a:rPr lang="en-US" sz="1100" b="0" i="0">
                  <a:latin typeface="Cambria Math"/>
                </a:rPr>
                <a:t>" )/(</a:t>
              </a:r>
              <a:r>
                <a:rPr lang="en-US" sz="1100" b="0" i="0">
                  <a:latin typeface="+mn-lt"/>
                </a:rPr>
                <a:t>"k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"g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"soil</a:t>
              </a:r>
              <a:r>
                <a:rPr lang="en-US" sz="1100" b="0" i="0">
                  <a:latin typeface="Cambria Math"/>
                </a:rPr>
                <a:t>"  ))"=" </a:t>
              </a:r>
              <a:r>
                <a:rPr lang="en-US" sz="1100" b="0" i="0">
                  <a:latin typeface="+mn-lt"/>
                </a:rPr>
                <a:t> "Q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"C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"wind</a:t>
              </a:r>
              <a:r>
                <a:rPr lang="en-US" sz="1100" b="0" i="0">
                  <a:latin typeface="Cambria Math"/>
                </a:rPr>
                <a:t>" 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Cambria Math"/>
                </a:rPr>
                <a:t>" " ((</a:t>
              </a:r>
              <a:r>
                <a:rPr lang="en-US" sz="1100" b="0" i="0">
                  <a:latin typeface="+mn-lt"/>
                </a:rPr>
                <a:t>"g</a:t>
              </a:r>
              <a:r>
                <a:rPr lang="en-US" sz="1100" b="0" i="0">
                  <a:latin typeface="Cambria Math"/>
                </a:rPr>
                <a:t>" /(</a:t>
              </a:r>
              <a:r>
                <a:rPr lang="en-US" sz="1100" b="0" i="0">
                  <a:latin typeface="+mn-lt"/>
                </a:rPr>
                <a:t>"m</a:t>
              </a:r>
              <a:r>
                <a:rPr lang="en-US" sz="1100" b="0" i="0">
                  <a:latin typeface="Cambria Math"/>
                </a:rPr>
                <a:t>" ^</a:t>
              </a:r>
              <a:r>
                <a:rPr lang="en-US" sz="1100" b="0" i="0">
                  <a:latin typeface="+mn-lt"/>
                </a:rPr>
                <a:t>"2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 "−s</a:t>
              </a:r>
              <a:r>
                <a:rPr lang="en-US" sz="1100" b="0" i="0">
                  <a:latin typeface="Cambria Math"/>
                </a:rPr>
                <a:t>" ))/(</a:t>
              </a:r>
              <a:r>
                <a:rPr lang="en-US" sz="1100" b="0" i="0">
                  <a:latin typeface="+mn-lt"/>
                </a:rPr>
                <a:t>"kg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"m</a:t>
              </a:r>
              <a:r>
                <a:rPr lang="en-US" sz="1100" b="0" i="0">
                  <a:latin typeface="Cambria Math"/>
                </a:rPr>
                <a:t>" ^</a:t>
              </a:r>
              <a:r>
                <a:rPr lang="en-US" sz="1100" b="0" i="0">
                  <a:latin typeface="+mn-lt"/>
                </a:rPr>
                <a:t>"3</a:t>
              </a:r>
              <a:r>
                <a:rPr lang="en-US" sz="1100" b="0" i="0">
                  <a:latin typeface="Cambria Math"/>
                </a:rPr>
                <a:t>"  ))" x " </a:t>
              </a:r>
              <a:r>
                <a:rPr lang="en-US" sz="1100" b="0" i="0">
                  <a:latin typeface="+mn-lt"/>
                </a:rPr>
                <a:t> "3600 </a:t>
              </a:r>
              <a:r>
                <a:rPr lang="en-US" sz="1100" b="0" i="0">
                  <a:latin typeface="Cambria Math"/>
                </a:rPr>
                <a:t>" (</a:t>
              </a:r>
              <a:r>
                <a:rPr lang="en-US" sz="1100" b="0" i="0">
                  <a:latin typeface="+mn-lt"/>
                </a:rPr>
                <a:t>"s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"hour</a:t>
              </a:r>
              <a:r>
                <a:rPr lang="en-US" sz="1100" b="0" i="0">
                  <a:latin typeface="Cambria Math"/>
                </a:rPr>
                <a:t>" 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"0.036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"1−V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"U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"U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 ))^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x F(x)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endParaRPr lang="en-US" sz="1100" b="0">
                <a:latin typeface="+mn-lt"/>
              </a:endParaRPr>
            </a:p>
            <a:p>
              <a:pPr/>
              <a:r>
                <a:rPr lang="en-US" sz="1100" b="0" i="0">
                  <a:latin typeface="+mn-lt"/>
                </a:rPr>
                <a:t>"Q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"C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"wind</a:t>
              </a:r>
              <a:r>
                <a:rPr lang="en-US" sz="1100" b="0" i="0">
                  <a:latin typeface="Cambria Math"/>
                </a:rPr>
                <a:t>" 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Cambria Math"/>
                </a:rPr>
                <a:t>"=A x" </a:t>
              </a:r>
              <a:r>
                <a:rPr lang="en-US" sz="1100" b="0" i="0">
                  <a:latin typeface="+mn-lt"/>
                </a:rPr>
                <a:t> "exp</a:t>
              </a:r>
              <a:r>
                <a:rPr lang="en-US" sz="1100" b="0" i="0">
                  <a:latin typeface="Cambria Math"/>
                </a:rPr>
                <a:t>" ⁡[(</a:t>
              </a:r>
              <a:r>
                <a:rPr lang="en-US" sz="1100" b="0" i="0">
                  <a:latin typeface="+mn-lt"/>
                </a:rPr>
                <a:t>"ln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"A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"s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 " </a:t>
              </a:r>
              <a:r>
                <a:rPr lang="en-US" sz="1100" b="0" i="0">
                  <a:latin typeface="Cambria Math"/>
                </a:rPr>
                <a:t>" (</a:t>
              </a:r>
              <a:r>
                <a:rPr lang="en-US" sz="1100" b="0" i="0">
                  <a:latin typeface="+mn-lt"/>
                </a:rPr>
                <a:t>"acre</a:t>
              </a:r>
              <a:r>
                <a:rPr lang="en-US" sz="1100" b="0" i="0">
                  <a:latin typeface="Cambria Math"/>
                </a:rPr>
                <a:t>" )</a:t>
              </a:r>
              <a:r>
                <a:rPr lang="en-US" sz="1100" b="0" i="0">
                  <a:latin typeface="+mn-lt"/>
                </a:rPr>
                <a:t>"−B</a:t>
              </a:r>
              <a:r>
                <a:rPr lang="en-US" sz="1100" b="0" i="0">
                  <a:latin typeface="Cambria Math"/>
                </a:rPr>
                <a:t>" )^</a:t>
              </a:r>
              <a:r>
                <a:rPr lang="en-US" sz="1100" b="0" i="0">
                  <a:latin typeface="+mn-lt"/>
                </a:rPr>
                <a:t>"2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"C</a:t>
              </a:r>
              <a:r>
                <a:rPr lang="en-US" sz="1100" b="0" i="0">
                  <a:latin typeface="Cambria Math"/>
                </a:rPr>
                <a:t>" ]</a:t>
              </a:r>
              <a:endParaRPr lang="en-US" sz="1100">
                <a:latin typeface="+mn-lt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1</xdr:row>
      <xdr:rowOff>0</xdr:rowOff>
    </xdr:from>
    <xdr:ext cx="9744075" cy="426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5259050" y="190500"/>
              <a:ext cx="9744075" cy="426720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>
                  <a:latin typeface="+mn-lt"/>
                </a:rPr>
                <a:t>Direct External Exposure to contamination at infinite depth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 u="none">
                        <a:latin typeface="Calibri" panose="020F0502020204030204" pitchFamily="34" charset="0"/>
                      </a:rPr>
                      <m:t>PRGw</m:t>
                    </m:r>
                    <m:r>
                      <m:rPr>
                        <m:nor/>
                      </m:rPr>
                      <a:rPr lang="en-US" sz="1100" b="0" i="0" u="none">
                        <a:latin typeface="Calibri" panose="020F050202020403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 u="none">
                        <a:latin typeface="Calibri" panose="020F0502020204030204" pitchFamily="34" charset="0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 u="none">
                        <a:latin typeface="Calibri" panose="020F0502020204030204" pitchFamily="34" charset="0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 u="none">
                        <a:latin typeface="Calibri" panose="020F0502020204030204" pitchFamily="34" charset="0"/>
                      </a:rPr>
                      <m:t>sv</m:t>
                    </m:r>
                    <m:r>
                      <m:rPr>
                        <m:nor/>
                      </m:rPr>
                      <a:rPr lang="en-US" sz="1100" b="0" i="0" u="none">
                        <a:latin typeface="Calibri" panose="020F0502020204030204" pitchFamily="34" charset="0"/>
                      </a:rPr>
                      <m:t> </m:t>
                    </m:r>
                    <m:d>
                      <m:dPr>
                        <m:ctrlPr>
                          <a:rPr lang="en-US" sz="1100" b="0" i="1" u="none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 u="none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 u="none">
                        <a:latin typeface="Calibri" panose="020F0502020204030204" pitchFamily="34" charset="0"/>
                      </a:rPr>
                      <m:t>=</m:t>
                    </m:r>
                    <m:f>
                      <m:fPr>
                        <m:ctrlPr>
                          <a:rPr lang="en-US" sz="1100" b="0" i="1" u="none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 u="none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 u="none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 u="none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 u="none">
                                    <a:latin typeface="Cambria Math"/>
                                    <a:ea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 u="none">
                                    <a:latin typeface="Cambria Math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sv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 u="none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 u="none">
                                            <a:latin typeface="Cambria Math"/>
                                            <a:ea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 u="none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 u="none">
                                    <a:latin typeface="Cambria Math"/>
                                    <a:ea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 u="none">
                                <a:latin typeface="Calibri" panose="020F0502020204030204" pitchFamily="34" charset="0"/>
                                <a:ea typeface="Cambria Math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 u="none">
                            <a:latin typeface="Calibri" panose="020F0502020204030204" pitchFamily="34" charset="0"/>
                            <a:ea typeface="Cambria Math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 u="none">
                                <a:latin typeface="Cambria Math"/>
                                <a:ea typeface="Cambria Math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 u="none">
                                    <a:latin typeface="Cambria Math"/>
                                    <a:ea typeface="Cambria Math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 u="none">
                                            <a:latin typeface="Cambria Math"/>
                                            <a:ea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 u="none">
                                            <a:latin typeface="Cambria Math"/>
                                            <a:ea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 u="none">
                                            <a:latin typeface="Calibri" panose="020F0502020204030204" pitchFamily="34" charset="0"/>
                                            <a:ea typeface="Cambria Math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 u="none">
                                    <a:latin typeface="Cambria Math"/>
                                    <a:ea typeface="Cambria Math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 u="none">
                                    <a:latin typeface="Calibri" panose="020F0502020204030204" pitchFamily="34" charset="0"/>
                                    <a:ea typeface="Cambria Math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 u="none">
                                        <a:latin typeface="Cambria Math"/>
                                        <a:ea typeface="Cambria Math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 u="none">
                                        <a:latin typeface="Calibri" panose="020F0502020204030204" pitchFamily="34" charset="0"/>
                                        <a:ea typeface="Cambria Math"/>
                                      </a:rPr>
                                      <m:t>sv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 sz="1100" b="0" i="0" u="none">
                <a:latin typeface="Calibri" panose="020F0502020204030204" pitchFamily="34" charset="0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 cm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−1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−1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cm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cm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5cm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−5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−5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cm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−5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cm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15cm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−15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cm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−15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cm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−15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cm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dust</a:t>
              </a:r>
              <a:endParaRPr lang="en-US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PRGw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soil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gp</m:t>
                    </m:r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pCi</m:t>
                            </m:r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</m:t>
                            </m:r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TR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w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e>
                            </m:d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x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λ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</m:e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λ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</m:sup>
                            </m:sSup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ext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gp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risk</m:t>
                                    </m:r>
                                  </m:num>
                                  <m:den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yr</m:t>
                                    </m:r>
                                  </m:den>
                                </m:f>
                              </m:num>
                              <m:den>
                                <m:d>
                                  <m:dPr>
                                    <m:begChr m:val=""/>
                                    <m:endChr m:val=""/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type m:val="lin"/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pCi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g</m:t>
                                        </m:r>
                                      </m:den>
                                    </m:f>
                                  </m:e>
                                </m:d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F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250 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yr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365 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days</m:t>
                                </m:r>
                              </m:den>
                            </m:f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w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25 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yr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begChr m:val=""/>
                            <m:endChr m:val="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"/>
                                <m:endChr m:val=""/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E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T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w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8 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hrs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1 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day</m:t>
                                        </m:r>
                                      </m:num>
                                      <m:den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24 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hr</m:t>
                                        </m:r>
                                      </m:den>
                                    </m:f>
                                  </m:e>
                                </m:d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GS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o</m:t>
                                    </m:r>
                                  </m:sub>
                                </m:s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1.0</m:t>
                                    </m:r>
                                  </m:e>
                                </m:d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x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AC</m:t>
                                </m:r>
                                <m:sSub>
                                  <m:sSub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F</m:t>
                                    </m:r>
                                  </m:e>
                                  <m: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ext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gp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US">
                <a:effectLst/>
              </a:endParaRPr>
            </a:p>
            <a:p>
              <a:endParaRPr lang="en-US" sz="1100" b="0" i="0" u="none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5259050" y="190500"/>
              <a:ext cx="9744075" cy="4267200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 u="sng">
                  <a:latin typeface="+mn-lt"/>
                </a:rPr>
                <a:t>Direct External Exposure to contamination at infinite depth</a:t>
              </a:r>
            </a:p>
            <a:p>
              <a:pPr/>
              <a:r>
                <a:rPr lang="en-US" sz="1100" b="0" i="0" u="none">
                  <a:latin typeface="Cambria Math"/>
                </a:rPr>
                <a:t>"PRGw−soil−sv " ("</a:t>
              </a:r>
              <a:r>
                <a:rPr lang="en-US" sz="1100" b="0" i="0" u="none">
                  <a:latin typeface="Calibri" panose="020F0502020204030204" pitchFamily="34" charset="0"/>
                </a:rPr>
                <a:t>pCi</a:t>
              </a:r>
              <a:r>
                <a:rPr lang="en-US" sz="1100" b="0" i="0" u="none">
                  <a:latin typeface="Cambria Math"/>
                </a:rPr>
                <a:t>" ∕"</a:t>
              </a:r>
              <a:r>
                <a:rPr lang="en-US" sz="1100" b="0" i="0" u="none">
                  <a:latin typeface="Calibri" panose="020F0502020204030204" pitchFamily="34" charset="0"/>
                </a:rPr>
                <a:t>g</a:t>
              </a:r>
              <a:r>
                <a:rPr lang="en-US" sz="1100" b="0" i="0" u="none">
                  <a:latin typeface="Cambria Math"/>
                </a:rPr>
                <a:t>" )"=</a:t>
              </a:r>
              <a:r>
                <a:rPr lang="en-US" sz="1100" b="0" i="0" u="none">
                  <a:latin typeface="Cambria Math"/>
                  <a:ea typeface="Cambria Math"/>
                </a:rPr>
                <a:t>" </a:t>
              </a:r>
              <a:r>
                <a:rPr lang="en-US" sz="1100" b="0" i="0" u="none">
                  <a:latin typeface="Cambria Math"/>
                </a:rPr>
                <a:t> ├ "</a:t>
              </a:r>
              <a:r>
                <a:rPr lang="en-US" sz="1100" b="0" i="0" u="none">
                  <a:latin typeface="Calibri" panose="020F0502020204030204" pitchFamily="34" charset="0"/>
                </a:rPr>
                <a:t>TR x </a:t>
              </a:r>
              <a:r>
                <a:rPr lang="en-US" sz="1100" b="0" i="0" u="none">
                  <a:latin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</a:rPr>
                <a:t>t</a:t>
              </a:r>
              <a:r>
                <a:rPr lang="en-US" sz="1100" b="0" i="0" u="none">
                  <a:latin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</a:rPr>
                <a:t>w</a:t>
              </a:r>
              <a:r>
                <a:rPr lang="en-US" sz="1100" b="0" i="0" u="none">
                  <a:latin typeface="Cambria Math"/>
                </a:rPr>
                <a:t>"  "</a:t>
              </a:r>
              <a:r>
                <a:rPr lang="en-US" sz="1100" b="0" i="0" u="none">
                  <a:latin typeface="Calibri" panose="020F0502020204030204" pitchFamily="34" charset="0"/>
                </a:rPr>
                <a:t> </a:t>
              </a:r>
              <a:r>
                <a:rPr lang="en-US" sz="1100" b="0" i="0" u="none">
                  <a:latin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</a:rPr>
                <a:t>yr</a:t>
              </a:r>
              <a:r>
                <a:rPr lang="en-US" sz="1100" b="0" i="0" u="none">
                  <a:latin typeface="Cambria Math"/>
                </a:rPr>
                <a:t>" )"</a:t>
              </a:r>
              <a:r>
                <a:rPr lang="en-US" sz="1100" b="0" i="0" u="none">
                  <a:latin typeface="Calibri" panose="020F0502020204030204" pitchFamily="34" charset="0"/>
                </a:rPr>
                <a:t> x 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λ </a:t>
              </a:r>
              <a:r>
                <a:rPr lang="en-US" sz="1100" b="0" i="0" u="none">
                  <a:latin typeface="Cambria Math"/>
                  <a:ea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1</a:t>
              </a:r>
              <a:r>
                <a:rPr lang="en-US" sz="1100" b="0" i="0" u="none">
                  <a:latin typeface="Cambria Math"/>
                  <a:ea typeface="Cambria Math"/>
                </a:rPr>
                <a:t>" /"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 u="none">
                  <a:latin typeface="Cambria Math"/>
                  <a:ea typeface="Cambria Math"/>
                </a:rPr>
                <a:t>" )┤/(("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1−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e</a:t>
              </a:r>
              <a:r>
                <a:rPr lang="en-US" sz="1100" b="0" i="0" u="none">
                  <a:latin typeface="Cambria Math"/>
                  <a:ea typeface="Cambria Math"/>
                </a:rPr>
                <a:t>" ^("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−λ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t</a:t>
              </a:r>
              <a:r>
                <a:rPr lang="en-US" sz="1100" b="0" i="0" u="none">
                  <a:latin typeface="Cambria Math"/>
                  <a:ea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 u="none">
                  <a:latin typeface="Cambria Math"/>
                  <a:ea typeface="Cambria Math"/>
                </a:rPr>
                <a:t>"  ) )"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x S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 u="none">
                  <a:latin typeface="Cambria Math"/>
                  <a:ea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ext−sv</a:t>
              </a:r>
              <a:r>
                <a:rPr lang="en-US" sz="1100" b="0" i="0" u="none">
                  <a:latin typeface="Cambria Math"/>
                  <a:ea typeface="Cambria Math"/>
                </a:rPr>
                <a:t>" 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 u="none">
                  <a:latin typeface="Cambria Math"/>
                  <a:ea typeface="Cambria Math"/>
                </a:rPr>
                <a:t>" (("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risk</a:t>
              </a:r>
              <a:r>
                <a:rPr lang="en-US" sz="1100" b="0" i="0" u="none">
                  <a:latin typeface="Cambria Math"/>
                  <a:ea typeface="Cambria Math"/>
                </a:rPr>
                <a:t>" ∕"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 u="none">
                  <a:latin typeface="Cambria Math"/>
                  <a:ea typeface="Cambria Math"/>
                </a:rPr>
                <a:t>" )/├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pCi</a:t>
              </a:r>
              <a:r>
                <a:rPr lang="en-US" sz="1100" b="0" i="0" u="none">
                  <a:latin typeface="Cambria Math"/>
                  <a:ea typeface="Cambria Math"/>
                </a:rPr>
                <a:t>" ∕"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g</a:t>
              </a:r>
              <a:r>
                <a:rPr lang="en-US" sz="1100" b="0" i="0" u="none">
                  <a:latin typeface="Cambria Math"/>
                  <a:ea typeface="Cambria Math"/>
                </a:rPr>
                <a:t>" ┤ )"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x E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 u="none">
                  <a:latin typeface="Cambria Math"/>
                  <a:ea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 u="none">
                  <a:latin typeface="Cambria Math"/>
                  <a:ea typeface="Cambria Math"/>
                </a:rPr>
                <a:t>" 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 u="none">
                  <a:latin typeface="Cambria Math"/>
                  <a:ea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250 day</a:t>
              </a:r>
              <a:r>
                <a:rPr lang="en-US" sz="1100" b="0" i="0" u="none">
                  <a:latin typeface="Cambria Math"/>
                  <a:ea typeface="Cambria Math"/>
                </a:rPr>
                <a:t>" /"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yr</a:t>
              </a:r>
              <a:r>
                <a:rPr lang="en-US" sz="1100" b="0" i="0" u="none">
                  <a:latin typeface="Cambria Math"/>
                  <a:ea typeface="Cambria Math"/>
                </a:rPr>
                <a:t>" )"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x </a:t>
              </a:r>
              <a:r>
                <a:rPr lang="en-US" sz="1100" b="0" i="0" u="none">
                  <a:latin typeface="Cambria Math"/>
                  <a:ea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1yr</a:t>
              </a:r>
              <a:r>
                <a:rPr lang="en-US" sz="1100" b="0" i="0" u="none">
                  <a:latin typeface="Cambria Math"/>
                  <a:ea typeface="Cambria Math"/>
                </a:rPr>
                <a:t>" /"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365 days</a:t>
              </a:r>
              <a:r>
                <a:rPr lang="en-US" sz="1100" b="0" i="0" u="none">
                  <a:latin typeface="Cambria Math"/>
                  <a:ea typeface="Cambria Math"/>
                </a:rPr>
                <a:t>" )"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x E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D</a:t>
              </a:r>
              <a:r>
                <a:rPr lang="en-US" sz="1100" b="0" i="0" u="none">
                  <a:latin typeface="Cambria Math"/>
                  <a:ea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 u="none">
                  <a:latin typeface="Cambria Math"/>
                  <a:ea typeface="Cambria Math"/>
                </a:rPr>
                <a:t>" 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 u="none">
                  <a:latin typeface="Cambria Math"/>
                  <a:ea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25 yr</a:t>
              </a:r>
              <a:r>
                <a:rPr lang="en-US" sz="1100" b="0" i="0" u="none">
                  <a:latin typeface="Cambria Math"/>
                  <a:ea typeface="Cambria Math"/>
                </a:rPr>
                <a:t>" )"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x </a:t>
              </a:r>
              <a:r>
                <a:rPr lang="en-US" sz="1100" b="0" i="0" u="none">
                  <a:latin typeface="Cambria Math"/>
                  <a:ea typeface="Cambria Math"/>
                </a:rPr>
                <a:t>" ├ ├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E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T</a:t>
              </a:r>
              <a:r>
                <a:rPr lang="en-US" sz="1100" b="0" i="0" u="none">
                  <a:latin typeface="Cambria Math"/>
                  <a:ea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w</a:t>
              </a:r>
              <a:r>
                <a:rPr lang="en-US" sz="1100" b="0" i="0" u="none">
                  <a:latin typeface="Cambria Math"/>
                  <a:ea typeface="Cambria Math"/>
                </a:rPr>
                <a:t>" 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 u="none">
                  <a:latin typeface="Cambria Math"/>
                  <a:ea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8 hrs</a:t>
              </a:r>
              <a:r>
                <a:rPr lang="en-US" sz="1100" b="0" i="0" u="none">
                  <a:latin typeface="Cambria Math"/>
                  <a:ea typeface="Cambria Math"/>
                </a:rPr>
                <a:t>" /"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day</a:t>
              </a:r>
              <a:r>
                <a:rPr lang="en-US" sz="1100" b="0" i="0" u="none">
                  <a:latin typeface="Cambria Math"/>
                  <a:ea typeface="Cambria Math"/>
                </a:rPr>
                <a:t>" )"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x </a:t>
              </a:r>
              <a:r>
                <a:rPr lang="en-US" sz="1100" b="0" i="0" u="none">
                  <a:latin typeface="Cambria Math"/>
                  <a:ea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1 day</a:t>
              </a:r>
              <a:r>
                <a:rPr lang="en-US" sz="1100" b="0" i="0" u="none">
                  <a:latin typeface="Cambria Math"/>
                  <a:ea typeface="Cambria Math"/>
                </a:rPr>
                <a:t>" /"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24 hr</a:t>
              </a:r>
              <a:r>
                <a:rPr lang="en-US" sz="1100" b="0" i="0" u="none">
                  <a:latin typeface="Cambria Math"/>
                  <a:ea typeface="Cambria Math"/>
                </a:rPr>
                <a:t>" )"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x GS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 u="none">
                  <a:latin typeface="Cambria Math"/>
                  <a:ea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o</a:t>
              </a:r>
              <a:r>
                <a:rPr lang="en-US" sz="1100" b="0" i="0" u="none">
                  <a:latin typeface="Cambria Math"/>
                  <a:ea typeface="Cambria Math"/>
                </a:rPr>
                <a:t>" 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 </a:t>
              </a:r>
              <a:r>
                <a:rPr lang="en-US" sz="1100" b="0" i="0" u="none">
                  <a:latin typeface="Cambria Math"/>
                  <a:ea typeface="Cambria Math"/>
                </a:rPr>
                <a:t>" ("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1.0</a:t>
              </a:r>
              <a:r>
                <a:rPr lang="en-US" sz="1100" b="0" i="0" u="none">
                  <a:latin typeface="Cambria Math"/>
                  <a:ea typeface="Cambria Math"/>
                </a:rPr>
                <a:t>" ) 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x AC</a:t>
              </a:r>
              <a:r>
                <a:rPr lang="en-US" sz="1100" b="0" i="0" u="none">
                  <a:latin typeface="Cambria Math"/>
                  <a:ea typeface="Cambria Math"/>
                </a:rPr>
                <a:t>" 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F</a:t>
              </a:r>
              <a:r>
                <a:rPr lang="en-US" sz="1100" b="0" i="0" u="none">
                  <a:latin typeface="Cambria Math"/>
                  <a:ea typeface="Cambria Math"/>
                </a:rPr>
                <a:t>" _"</a:t>
              </a:r>
              <a:r>
                <a:rPr lang="en-US" sz="1100" b="0" i="0" u="none">
                  <a:latin typeface="Calibri" panose="020F0502020204030204" pitchFamily="34" charset="0"/>
                  <a:ea typeface="Cambria Math"/>
                </a:rPr>
                <a:t>ext−sv</a:t>
              </a:r>
              <a:r>
                <a:rPr lang="en-US" sz="1100" b="0" i="0" u="none">
                  <a:latin typeface="Cambria Math"/>
                  <a:ea typeface="Cambria Math"/>
                </a:rPr>
                <a:t>"  ┤┤ )</a:t>
              </a:r>
              <a:endParaRPr lang="en-US" sz="1100" b="0" i="0" u="none">
                <a:latin typeface="Calibri" panose="020F0502020204030204" pitchFamily="34" charset="0"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 cm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"PRGw−soil−1cm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_"w"  " " ("yr" )" x λ " ("1" /"yr" )┤/(("1−" "e" ^("−λ" "t" _"w"  ) )" x S" "F" _"ext−1cm"  " " (("risk" ∕"yr" )/├ "pCi" ∕"g" ┤ )" x E" "F" _"w"  " " ("250 day" /"yr" )" x " ("1yr" /"365 days" )" x E" "D" _"w"  " " ("25 yr" )" x " ├ ├ "E" "T" _"w"  " " ("8 hrs" /"day" )" x " ("1 day" /"24 hr" )" x GS" "F" _"o"  " " ("1.0" )  "x AC" "F" _"ext−1cm"  ┤┤ )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5cm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"PRGw−soil−5cm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_"w"  " " ("yr" )" x λ " ("1" /"yr" )┤/(("1−" "e" ^("−λ" "t" _"w"  ) )" x S" "F" _"ext−5cm"  " " (("risk" ∕"yr" )/├ "pCi" ∕"g" ┤ )" x E" "F" _"w"  " " ("250 day" /"yr" )" x " ("1yr" /"365 days" )" x E" "D" _"w"  " " ("25 yr" )" x " ├ ├ "E" "T" _"w"  " " ("8 hrs" /"day" )" x " ("1 day" /"24 hr" )" x GS" "F" _"o"  " " ("1.0" )  "x AC" "F" _"ext−5cm"  ┤┤ )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at 15cm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"PRGw−soil−15cm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_"w"  " " ("yr" )" x λ " ("1" /"yr" )┤/(("1−" "e" ^("−λ" "t" _"w"  ) )" x S" "F" _"ext−15cm"  " " (("risk" ∕"yr" )/├ "pCi" ∕"g" ┤ )" x E" "F" _"w"  " " ("250 day" /"yr" )" x " ("1yr" /"365 days" )" x E" "D" _"w"  " " ("25 yr" )" x " ├ ├ "E" "T" _"w"  " " ("8 hrs" /"day" )" x " ("1 day" /"24 hr" )" x GS" "F" _"o"  " " ("1.0" )  "x AC" "F" _"ext−15cm"  ┤┤ )</a:t>
              </a:r>
              <a:endParaRPr lang="en-US">
                <a:effectLst/>
              </a:endParaRPr>
            </a:p>
            <a:p>
              <a:r>
                <a:rPr lang="en-US" sz="1100" b="1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 External Exposure to contamination dust</a:t>
              </a:r>
              <a:endParaRPr lang="en-US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"PRGw−soil−gp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("pCi" ∕"g"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 ├ "TR x " "t" _"w"  " " ("yr" )" x λ " ("1" /"yr" )┤/(("1−" "e" ^("−λ" "t" _"w"  ) )" x S" "F" _"ext−gp"  " " (("risk" ∕"yr" )/├ "pCi" ∕"g" ┤ )" x E" "F" _"w"  " " ("250 day" /"yr" )" x " ("1yr" /"365 days" )" x E" "D" _"w"  " " ("25 yr" )" x " ├ ├ "E" "T" _"w"  " " ("8 hrs" /"day" )" x " ("1 day" /"24 hr" )" x GS" "F" _"o"  " " ("1.0" )  "x AC" "F" _"ext−gp"  ┤┤ )</a:t>
              </a:r>
              <a:endParaRPr lang="en-US">
                <a:effectLst/>
              </a:endParaRPr>
            </a:p>
            <a:p>
              <a:pPr/>
              <a:endParaRPr lang="en-US" sz="1100" b="0" i="0" u="none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AM15" sqref="AM15"/>
    </sheetView>
  </sheetViews>
  <sheetFormatPr defaultRowHeight="15" x14ac:dyDescent="0.25"/>
  <cols>
    <col min="2" max="2" width="9" bestFit="1" customWidth="1"/>
    <col min="6" max="7" width="11.42578125" bestFit="1" customWidth="1"/>
    <col min="11" max="11" width="10.140625" customWidth="1"/>
    <col min="14" max="14" width="10.28515625" bestFit="1" customWidth="1"/>
  </cols>
  <sheetData>
    <row r="1" spans="1:16" x14ac:dyDescent="0.25">
      <c r="A1" s="8" t="s">
        <v>14</v>
      </c>
      <c r="B1" s="9" t="s">
        <v>15</v>
      </c>
      <c r="C1" s="17"/>
      <c r="D1" s="178" t="s">
        <v>63</v>
      </c>
      <c r="E1" s="18" t="s">
        <v>11</v>
      </c>
      <c r="F1" s="18" t="s">
        <v>33</v>
      </c>
      <c r="G1" s="18" t="s">
        <v>34</v>
      </c>
      <c r="H1" s="18" t="s">
        <v>35</v>
      </c>
      <c r="I1" s="18" t="s">
        <v>36</v>
      </c>
      <c r="J1" s="18" t="s">
        <v>37</v>
      </c>
      <c r="K1" s="18" t="s">
        <v>40</v>
      </c>
      <c r="L1" s="18" t="s">
        <v>38</v>
      </c>
      <c r="M1" s="19" t="s">
        <v>39</v>
      </c>
    </row>
    <row r="2" spans="1:16" x14ac:dyDescent="0.25">
      <c r="A2" s="10" t="s">
        <v>16</v>
      </c>
      <c r="B2" s="3">
        <v>9.9999999999999995E-7</v>
      </c>
      <c r="C2" s="20" t="s">
        <v>7</v>
      </c>
      <c r="D2" s="176" t="s">
        <v>70</v>
      </c>
      <c r="E2" s="7">
        <v>432</v>
      </c>
      <c r="F2" s="7">
        <f>0.693/E2</f>
        <v>1.6041666666666665E-3</v>
      </c>
      <c r="G2" s="7">
        <f>(1-EXP(-(F2)*$B$3))</f>
        <v>3.9310637868486542E-2</v>
      </c>
      <c r="H2" s="7">
        <f>'Isotope Specific Factors'!F11</f>
        <v>9.0999999999999996E-11</v>
      </c>
      <c r="I2" s="7">
        <f>'Isotope Specific Factors'!C19</f>
        <v>3.77E-8</v>
      </c>
      <c r="J2" s="7">
        <f>'Isotope Specific Factors'!D3</f>
        <v>2.77E-8</v>
      </c>
      <c r="K2" s="7">
        <f>'Isotope Specific Factors'!I3</f>
        <v>5.8100000000000005E-11</v>
      </c>
      <c r="L2" s="7">
        <v>1</v>
      </c>
      <c r="M2" s="21">
        <v>1</v>
      </c>
    </row>
    <row r="3" spans="1:16" x14ac:dyDescent="0.25">
      <c r="A3" s="10" t="s">
        <v>17</v>
      </c>
      <c r="B3" s="11">
        <v>25</v>
      </c>
      <c r="C3" s="20" t="s">
        <v>8</v>
      </c>
      <c r="D3" s="176" t="s">
        <v>70</v>
      </c>
      <c r="E3" s="7">
        <v>5.27</v>
      </c>
      <c r="F3" s="7">
        <f t="shared" ref="F3:F5" si="0">0.693/E3</f>
        <v>0.13149905123339659</v>
      </c>
      <c r="G3" s="7">
        <f t="shared" ref="G3:G5" si="1">(1-EXP(-(F3)*$B$3))</f>
        <v>0.9626520136123895</v>
      </c>
      <c r="H3" s="7">
        <f>'Isotope Specific Factors'!F12</f>
        <v>7.3300000000000005E-12</v>
      </c>
      <c r="I3" s="7">
        <f>'Isotope Specific Factors'!C24</f>
        <v>1.01E-10</v>
      </c>
      <c r="J3" s="7">
        <f>'Isotope Specific Factors'!D4</f>
        <v>1.24E-5</v>
      </c>
      <c r="K3" s="7">
        <f>'Isotope Specific Factors'!I4</f>
        <v>1.1299999999999999E-8</v>
      </c>
      <c r="L3" s="7">
        <v>1</v>
      </c>
      <c r="M3" s="21">
        <v>1</v>
      </c>
    </row>
    <row r="4" spans="1:16" x14ac:dyDescent="0.25">
      <c r="A4" s="10" t="s">
        <v>18</v>
      </c>
      <c r="B4" s="11">
        <v>250</v>
      </c>
      <c r="C4" s="20" t="s">
        <v>9</v>
      </c>
      <c r="D4" s="176" t="s">
        <v>70</v>
      </c>
      <c r="E4" s="7">
        <v>12.3</v>
      </c>
      <c r="F4" s="7">
        <f t="shared" si="0"/>
        <v>5.6341463414634141E-2</v>
      </c>
      <c r="G4" s="7">
        <f t="shared" si="1"/>
        <v>0.75549917243911779</v>
      </c>
      <c r="H4" s="7">
        <f>'Isotope Specific Factors'!F14</f>
        <v>0</v>
      </c>
      <c r="I4" s="7">
        <f>'Isotope Specific Factors'!C27</f>
        <v>8.4700000000000003E-13</v>
      </c>
      <c r="J4" s="7">
        <f>'Isotope Specific Factors'!D6</f>
        <v>0</v>
      </c>
      <c r="K4" s="7">
        <f>'Isotope Specific Factors'!I6</f>
        <v>0</v>
      </c>
      <c r="L4" s="7">
        <v>1</v>
      </c>
      <c r="M4" s="21">
        <v>1</v>
      </c>
    </row>
    <row r="5" spans="1:16" ht="15.75" thickBot="1" x14ac:dyDescent="0.3">
      <c r="A5" s="10" t="s">
        <v>19</v>
      </c>
      <c r="B5" s="11">
        <v>25</v>
      </c>
      <c r="C5" s="22" t="s">
        <v>10</v>
      </c>
      <c r="D5" s="177" t="s">
        <v>70</v>
      </c>
      <c r="E5" s="23">
        <v>87.7</v>
      </c>
      <c r="F5" s="23">
        <f t="shared" si="0"/>
        <v>7.9019384264538192E-3</v>
      </c>
      <c r="G5" s="23">
        <f t="shared" si="1"/>
        <v>0.17925963395695022</v>
      </c>
      <c r="H5" s="23">
        <f>'Isotope Specific Factors'!F15</f>
        <v>1.1700000000000001E-10</v>
      </c>
      <c r="I5" s="23">
        <f>'Isotope Specific Factors'!C31</f>
        <v>5.2199999999999998E-8</v>
      </c>
      <c r="J5" s="23">
        <f>'Isotope Specific Factors'!D7</f>
        <v>6.9200000000000004E-11</v>
      </c>
      <c r="K5" s="23">
        <f>'Isotope Specific Factors'!I7</f>
        <v>2.5600000000000002E-13</v>
      </c>
      <c r="L5" s="23">
        <v>1</v>
      </c>
      <c r="M5" s="24">
        <v>1</v>
      </c>
    </row>
    <row r="6" spans="1:16" x14ac:dyDescent="0.25">
      <c r="A6" s="10" t="s">
        <v>20</v>
      </c>
      <c r="B6" s="11">
        <v>100</v>
      </c>
    </row>
    <row r="7" spans="1:16" ht="15.75" thickBot="1" x14ac:dyDescent="0.3">
      <c r="A7" s="10" t="s">
        <v>21</v>
      </c>
      <c r="B7" s="11">
        <v>8</v>
      </c>
    </row>
    <row r="8" spans="1:16" ht="15.75" thickBot="1" x14ac:dyDescent="0.3">
      <c r="A8" s="10" t="s">
        <v>22</v>
      </c>
      <c r="B8" s="11">
        <v>60</v>
      </c>
      <c r="D8" s="188" t="s">
        <v>41</v>
      </c>
      <c r="E8" s="189"/>
      <c r="F8" s="189"/>
      <c r="G8" s="189"/>
      <c r="H8" s="190"/>
      <c r="J8" s="185" t="s">
        <v>42</v>
      </c>
      <c r="K8" s="186"/>
      <c r="L8" s="186"/>
      <c r="M8" s="186"/>
      <c r="N8" s="186"/>
      <c r="O8" s="186"/>
      <c r="P8" s="187"/>
    </row>
    <row r="9" spans="1:16" ht="15.75" thickBot="1" x14ac:dyDescent="0.3">
      <c r="A9" s="12" t="s">
        <v>23</v>
      </c>
      <c r="B9" s="3">
        <f>$B$10*(3600/(0.036*(1-$B$11)*(($B$12/$B$13)^3)*$B$14))</f>
        <v>1359344473.5814338</v>
      </c>
      <c r="D9" s="25"/>
      <c r="E9" s="26" t="s">
        <v>0</v>
      </c>
      <c r="F9" s="27" t="s">
        <v>1</v>
      </c>
      <c r="G9" s="27" t="s">
        <v>2</v>
      </c>
      <c r="H9" s="28" t="s">
        <v>3</v>
      </c>
      <c r="J9" s="74"/>
      <c r="K9" s="191" t="s">
        <v>12</v>
      </c>
      <c r="L9" s="192"/>
      <c r="M9" s="193"/>
      <c r="N9" s="194" t="s">
        <v>13</v>
      </c>
      <c r="O9" s="195"/>
      <c r="P9" s="196"/>
    </row>
    <row r="10" spans="1:16" ht="15.75" thickBot="1" x14ac:dyDescent="0.3">
      <c r="A10" s="12" t="s">
        <v>24</v>
      </c>
      <c r="B10" s="13">
        <f>$B$15*EXP(((LN($B$16)-$B$17)^2)/$B$18)</f>
        <v>93.773582452087695</v>
      </c>
      <c r="D10" s="179" t="s">
        <v>7</v>
      </c>
      <c r="E10" s="29">
        <f>$B$2*$B$3*$F$2</f>
        <v>4.0104166666666658E-8</v>
      </c>
      <c r="F10" s="29">
        <f>$B$2*$B$3*$F$2</f>
        <v>4.0104166666666658E-8</v>
      </c>
      <c r="G10" s="29">
        <f>$B$2*$B$3*$F$2</f>
        <v>4.0104166666666658E-8</v>
      </c>
      <c r="H10" s="30">
        <f>1</f>
        <v>1</v>
      </c>
      <c r="J10" s="75"/>
      <c r="K10" s="48" t="s">
        <v>1</v>
      </c>
      <c r="L10" s="26" t="s">
        <v>2</v>
      </c>
      <c r="M10" s="49" t="s">
        <v>3</v>
      </c>
      <c r="N10" s="50" t="s">
        <v>1</v>
      </c>
      <c r="O10" s="51" t="s">
        <v>2</v>
      </c>
      <c r="P10" s="52" t="s">
        <v>3</v>
      </c>
    </row>
    <row r="11" spans="1:16" x14ac:dyDescent="0.25">
      <c r="A11" s="14" t="s">
        <v>25</v>
      </c>
      <c r="B11" s="11">
        <v>0.5</v>
      </c>
      <c r="D11" s="180"/>
      <c r="E11" s="31">
        <f>$G2*H$2*$B$4*$B$5*$B$6*(1/1000)</f>
        <v>2.2357925287701724E-9</v>
      </c>
      <c r="F11" s="31">
        <f>$G2*I$2*$B$4*$B$5*$B$7*(1/24)*$B$8*(1/$B$9)*1000</f>
        <v>1.3627993827581117E-10</v>
      </c>
      <c r="G11" s="31">
        <f>$G2*J$2*$B$4*(1/365)*$B$5*$B$7*(1/24)*L2*M2</f>
        <v>6.2152092977002124E-9</v>
      </c>
      <c r="H11" s="32">
        <f>(1/E12)+(1/F12)+(1/G12)</f>
        <v>0.21412442841964546</v>
      </c>
      <c r="J11" s="197" t="s">
        <v>7</v>
      </c>
      <c r="K11" s="29">
        <f>$B$2*$B$3*$F$2</f>
        <v>4.0104166666666658E-8</v>
      </c>
      <c r="L11" s="29">
        <f>$B$2*$B$3*$F$2</f>
        <v>4.0104166666666658E-8</v>
      </c>
      <c r="M11" s="78">
        <f>1</f>
        <v>1</v>
      </c>
      <c r="N11" s="79">
        <f>$B$2</f>
        <v>9.9999999999999995E-7</v>
      </c>
      <c r="O11" s="79">
        <f>$B$2</f>
        <v>9.9999999999999995E-7</v>
      </c>
      <c r="P11" s="30">
        <f>1</f>
        <v>1</v>
      </c>
    </row>
    <row r="12" spans="1:16" ht="15.75" thickBot="1" x14ac:dyDescent="0.3">
      <c r="A12" s="14" t="s">
        <v>26</v>
      </c>
      <c r="B12" s="11">
        <v>4.6900000000000004</v>
      </c>
      <c r="D12" s="181"/>
      <c r="E12" s="33">
        <f>E10/E11</f>
        <v>17.937338170070053</v>
      </c>
      <c r="F12" s="33">
        <f t="shared" ref="F12:H12" si="2">F10/F11</f>
        <v>294.27784583745216</v>
      </c>
      <c r="G12" s="33">
        <f t="shared" si="2"/>
        <v>6.4525850612152729</v>
      </c>
      <c r="H12" s="34">
        <f t="shared" si="2"/>
        <v>4.6701817601127669</v>
      </c>
      <c r="J12" s="198" t="s">
        <v>8</v>
      </c>
      <c r="K12" s="80">
        <f>$G$2*I2*$B$4*$B$5*$B$7*(1/24)*$B$8</f>
        <v>1.8525138095524282E-4</v>
      </c>
      <c r="L12" s="80">
        <f>$G$2*K2*$B$4*(1/365)*$B$5*$B$7*(1/24)*L2</f>
        <v>1.3036233220086006E-11</v>
      </c>
      <c r="M12" s="81">
        <f>(1/K13)+(1/L13)</f>
        <v>4619.2555384887546</v>
      </c>
      <c r="N12" s="80">
        <f>I2*$B$4*$B$5*$B$7*(1/24)*$B$8</f>
        <v>4.7125000000000005E-3</v>
      </c>
      <c r="O12" s="80">
        <f>K2*$B$4*(1/365)*$B$5*$B$7*(1/24)*L2</f>
        <v>3.3162100456621012E-10</v>
      </c>
      <c r="P12" s="32">
        <f>(1/N13)+(1/O13)</f>
        <v>4712.5003316210059</v>
      </c>
    </row>
    <row r="13" spans="1:16" ht="15.75" thickBot="1" x14ac:dyDescent="0.3">
      <c r="A13" s="14" t="s">
        <v>27</v>
      </c>
      <c r="B13" s="11">
        <v>11.32</v>
      </c>
      <c r="D13" s="179" t="s">
        <v>8</v>
      </c>
      <c r="E13" s="29">
        <f>$B$2*$B$3*$F$3</f>
        <v>3.2874762808349142E-6</v>
      </c>
      <c r="F13" s="29">
        <f>$B$2*$B$3*$F$3</f>
        <v>3.2874762808349142E-6</v>
      </c>
      <c r="G13" s="29">
        <f>$B$2*$B$3*$F$3</f>
        <v>3.2874762808349142E-6</v>
      </c>
      <c r="H13" s="30">
        <f>1</f>
        <v>1</v>
      </c>
      <c r="J13" s="199" t="s">
        <v>9</v>
      </c>
      <c r="K13" s="82">
        <f>K11/K12</f>
        <v>2.1648511584567307E-4</v>
      </c>
      <c r="L13" s="83">
        <f t="shared" ref="L13:P13" si="3">L11/L12</f>
        <v>3076.3615524210504</v>
      </c>
      <c r="M13" s="84">
        <f t="shared" si="3"/>
        <v>2.1648510061150723E-4</v>
      </c>
      <c r="N13" s="82">
        <f t="shared" si="3"/>
        <v>2.122015915119363E-4</v>
      </c>
      <c r="O13" s="83">
        <f t="shared" si="3"/>
        <v>3015.4905335628218</v>
      </c>
      <c r="P13" s="34">
        <f t="shared" si="3"/>
        <v>2.1220157657920419E-4</v>
      </c>
    </row>
    <row r="14" spans="1:16" x14ac:dyDescent="0.25">
      <c r="A14" s="14" t="s">
        <v>28</v>
      </c>
      <c r="B14" s="11">
        <v>0.19400000000000001</v>
      </c>
      <c r="D14" s="180"/>
      <c r="E14" s="31">
        <f>$G3*H$3*$B$4*$B$5*$B$6*(1/1000)</f>
        <v>4.4101495373617597E-9</v>
      </c>
      <c r="F14" s="31">
        <f>$G3*I$3*$B$4*$B$5*$B$7*(1/24)*$B$8*(1/$B$9)*1000</f>
        <v>8.9406930384878185E-12</v>
      </c>
      <c r="G14" s="31">
        <f>$G3*J$3*$B$4*(1/365)*$B$5*$B$7*(1/24)*L3*M3</f>
        <v>6.8132905073022988E-5</v>
      </c>
      <c r="H14" s="32">
        <f>(1/E15)+(1/F15)+(1/G15)</f>
        <v>20.726331794536531</v>
      </c>
      <c r="J14" s="197" t="s">
        <v>8</v>
      </c>
      <c r="K14" s="29">
        <f>$B$2*$B$3*$F$3</f>
        <v>3.2874762808349142E-6</v>
      </c>
      <c r="L14" s="29">
        <f>$B$2*$B$3*$F$3</f>
        <v>3.2874762808349142E-6</v>
      </c>
      <c r="M14" s="78">
        <f>1</f>
        <v>1</v>
      </c>
      <c r="N14" s="79">
        <f>$B$2</f>
        <v>9.9999999999999995E-7</v>
      </c>
      <c r="O14" s="79">
        <f>$B$2</f>
        <v>9.9999999999999995E-7</v>
      </c>
      <c r="P14" s="30">
        <f>1</f>
        <v>1</v>
      </c>
    </row>
    <row r="15" spans="1:16" ht="15.75" thickBot="1" x14ac:dyDescent="0.3">
      <c r="A15" s="14" t="s">
        <v>29</v>
      </c>
      <c r="B15" s="11">
        <v>16.2302</v>
      </c>
      <c r="D15" s="181"/>
      <c r="E15" s="33">
        <f>E13/E14</f>
        <v>745.43419740854154</v>
      </c>
      <c r="F15" s="33">
        <f t="shared" ref="F15:H15" si="4">F13/F14</f>
        <v>367698.14897827437</v>
      </c>
      <c r="G15" s="33">
        <f t="shared" si="4"/>
        <v>4.8250933632016525E-2</v>
      </c>
      <c r="H15" s="34">
        <f t="shared" si="4"/>
        <v>4.8247804286506712E-2</v>
      </c>
      <c r="J15" s="198" t="s">
        <v>7</v>
      </c>
      <c r="K15" s="80">
        <f>$G$3*I3*$B$4*$B$5*$B$7*(1/24)*$B$8</f>
        <v>1.2153481671856415E-5</v>
      </c>
      <c r="L15" s="80">
        <f>$G$3*K3*$B$4*(1/365)*$B$5*$B$7*(1/24)*L3</f>
        <v>6.2088857042351599E-8</v>
      </c>
      <c r="M15" s="81">
        <f>(1/K16)+(1/L16)</f>
        <v>3.7157897077804618</v>
      </c>
      <c r="N15" s="80">
        <f>I3*$B$4*$B$5*$B$7*(1/24)*$B$8</f>
        <v>1.2624999999999999E-5</v>
      </c>
      <c r="O15" s="80">
        <f>K3*$B$4*(1/365)*$B$5*$B$7*(1/24)*L3</f>
        <v>6.4497716894977158E-8</v>
      </c>
      <c r="P15" s="32">
        <f>(1/N16)+(1/O16)</f>
        <v>12.689497716894977</v>
      </c>
    </row>
    <row r="16" spans="1:16" ht="15.75" thickBot="1" x14ac:dyDescent="0.3">
      <c r="A16" s="14" t="s">
        <v>30</v>
      </c>
      <c r="B16" s="11">
        <v>0.5</v>
      </c>
      <c r="D16" s="179" t="s">
        <v>9</v>
      </c>
      <c r="E16" s="35"/>
      <c r="F16" s="29">
        <f>$B$2*$B$3*$F$4</f>
        <v>1.4085365853658534E-6</v>
      </c>
      <c r="G16" s="35"/>
      <c r="H16" s="30">
        <f>1</f>
        <v>1</v>
      </c>
      <c r="J16" s="199" t="s">
        <v>8</v>
      </c>
      <c r="K16" s="82">
        <f>K14/K15</f>
        <v>0.27049666668339661</v>
      </c>
      <c r="L16" s="83">
        <f t="shared" ref="L16:P16" si="5">L14/L15</f>
        <v>52.94792717141636</v>
      </c>
      <c r="M16" s="84">
        <f t="shared" si="5"/>
        <v>0.26912179607637865</v>
      </c>
      <c r="N16" s="82">
        <f t="shared" si="5"/>
        <v>7.9207920792079209E-2</v>
      </c>
      <c r="O16" s="83">
        <f t="shared" si="5"/>
        <v>15.504424778761065</v>
      </c>
      <c r="P16" s="34">
        <f t="shared" si="5"/>
        <v>7.8805325656711056E-2</v>
      </c>
    </row>
    <row r="17" spans="1:16" x14ac:dyDescent="0.25">
      <c r="A17" s="14" t="s">
        <v>31</v>
      </c>
      <c r="B17" s="11">
        <v>18.776199999999999</v>
      </c>
      <c r="D17" s="180"/>
      <c r="E17" s="36"/>
      <c r="F17" s="31">
        <f>$G4*I$4*$B$4*$B$5*$B$7*(1/24)*$B$8*(1/17)*1000</f>
        <v>4.7052044048230346E-6</v>
      </c>
      <c r="G17" s="36"/>
      <c r="H17" s="32">
        <f>(1/F18)</f>
        <v>3.340491438921982</v>
      </c>
      <c r="J17" s="197" t="s">
        <v>9</v>
      </c>
      <c r="K17" s="29">
        <f>$B$2*$B$3*$F$4</f>
        <v>1.4085365853658534E-6</v>
      </c>
      <c r="L17" s="85"/>
      <c r="M17" s="78">
        <f>1</f>
        <v>1</v>
      </c>
      <c r="N17" s="79">
        <f>$B$2</f>
        <v>9.9999999999999995E-7</v>
      </c>
      <c r="O17" s="85"/>
      <c r="P17" s="30">
        <f>1</f>
        <v>1</v>
      </c>
    </row>
    <row r="18" spans="1:16" ht="15.75" thickBot="1" x14ac:dyDescent="0.3">
      <c r="A18" s="15" t="s">
        <v>32</v>
      </c>
      <c r="B18" s="16">
        <v>216.108</v>
      </c>
      <c r="D18" s="181"/>
      <c r="E18" s="37"/>
      <c r="F18" s="33">
        <f t="shared" ref="F18:H18" si="6">F16/F17</f>
        <v>0.29935715097138893</v>
      </c>
      <c r="G18" s="37"/>
      <c r="H18" s="34">
        <f t="shared" si="6"/>
        <v>0.29935715097138893</v>
      </c>
      <c r="J18" s="198" t="s">
        <v>10</v>
      </c>
      <c r="K18" s="80">
        <f>$G$4*I4*$B$4*$B$5*$B$7*(1/24)*$B$8</f>
        <v>7.9988474881991599E-8</v>
      </c>
      <c r="L18" s="86"/>
      <c r="M18" s="81">
        <f>(1/K19)</f>
        <v>5.6788354461673692E-2</v>
      </c>
      <c r="N18" s="80">
        <f>I4*$B$4*$B$5*$B$7*(1/24)*$B$8</f>
        <v>1.05875E-7</v>
      </c>
      <c r="O18" s="86"/>
      <c r="P18" s="32">
        <f>(1/N19)</f>
        <v>0.105875</v>
      </c>
    </row>
    <row r="19" spans="1:16" ht="15.75" thickBot="1" x14ac:dyDescent="0.3">
      <c r="D19" s="179" t="s">
        <v>10</v>
      </c>
      <c r="E19" s="29">
        <f>$B$2*$B$3*$F$5</f>
        <v>1.9754846066134545E-7</v>
      </c>
      <c r="F19" s="29">
        <f>$B$2*$B$3*$F$5</f>
        <v>1.9754846066134545E-7</v>
      </c>
      <c r="G19" s="29">
        <f>$B$2*$B$3*$F$5</f>
        <v>1.9754846066134545E-7</v>
      </c>
      <c r="H19" s="30">
        <f>1</f>
        <v>1</v>
      </c>
      <c r="J19" s="199" t="s">
        <v>7</v>
      </c>
      <c r="K19" s="82">
        <f>K17/K18</f>
        <v>17.609244174787584</v>
      </c>
      <c r="L19" s="87"/>
      <c r="M19" s="84">
        <f t="shared" ref="M19:N19" si="7">M17/M18</f>
        <v>17.609244174787584</v>
      </c>
      <c r="N19" s="82">
        <f t="shared" si="7"/>
        <v>9.445100354191263</v>
      </c>
      <c r="O19" s="87"/>
      <c r="P19" s="34">
        <f t="shared" ref="P19" si="8">P17/P18</f>
        <v>9.445100354191263</v>
      </c>
    </row>
    <row r="20" spans="1:16" x14ac:dyDescent="0.25">
      <c r="D20" s="180"/>
      <c r="E20" s="31">
        <f>$G5*H$5*$B$4*$B$5*$B$6*(1/1000)</f>
        <v>1.3108360733101983E-8</v>
      </c>
      <c r="F20" s="31">
        <f>$G5*I$5*$B$4*$B$5*$B$7*(1/24)*$B$8*(1/$B$9)*1000</f>
        <v>8.6046556579392983E-10</v>
      </c>
      <c r="G20" s="31">
        <f>$G5*J$5*$B$4*(1/365)*$B$5*$B$7*(1/24)*L5*M5</f>
        <v>7.0803462727288562E-11</v>
      </c>
      <c r="H20" s="32">
        <f>(1/E21)+(1/F21)+(1/G21)</f>
        <v>7.1069294666340821E-2</v>
      </c>
      <c r="J20" s="197" t="s">
        <v>10</v>
      </c>
      <c r="K20" s="29">
        <f>$B$2*$B$3*$F$5</f>
        <v>1.9754846066134545E-7</v>
      </c>
      <c r="L20" s="29">
        <f>$B$2*$B$3*$F$5</f>
        <v>1.9754846066134545E-7</v>
      </c>
      <c r="M20" s="78">
        <f>1</f>
        <v>1</v>
      </c>
      <c r="N20" s="79">
        <f>$B$2</f>
        <v>9.9999999999999995E-7</v>
      </c>
      <c r="O20" s="79">
        <f>$B$2</f>
        <v>9.9999999999999995E-7</v>
      </c>
      <c r="P20" s="30">
        <f>1</f>
        <v>1</v>
      </c>
    </row>
    <row r="21" spans="1:16" ht="15.75" thickBot="1" x14ac:dyDescent="0.3">
      <c r="D21" s="181"/>
      <c r="E21" s="33">
        <f>E19/E20</f>
        <v>15.070416864748372</v>
      </c>
      <c r="F21" s="33">
        <f t="shared" ref="F21:H21" si="9">F19/F20</f>
        <v>229.58322623761529</v>
      </c>
      <c r="G21" s="33">
        <f t="shared" si="9"/>
        <v>2790.0960355884931</v>
      </c>
      <c r="H21" s="34">
        <f t="shared" si="9"/>
        <v>14.070774230908622</v>
      </c>
      <c r="J21" s="198" t="s">
        <v>9</v>
      </c>
      <c r="K21" s="80">
        <f>$G$5*I5*$B$4*$B$5*$B$7*(1/24)*$B$8</f>
        <v>1.1696691115691002E-3</v>
      </c>
      <c r="L21" s="80">
        <f>$G$5*K5*$B$4*(1/365)*$B$5*$B$7*(1/24)*L5</f>
        <v>2.6193188523389989E-13</v>
      </c>
      <c r="M21" s="81">
        <f>(1/K22)+(1/L22)</f>
        <v>5920.9224304520376</v>
      </c>
      <c r="N21" s="80">
        <f>I5*$B$4*$B$5*$B$7*(1/24)*$B$8</f>
        <v>6.5249999999999996E-3</v>
      </c>
      <c r="O21" s="80">
        <f>K5*$B$4*(1/365)*$B$5*$B$7*(1/24)*L5</f>
        <v>1.461187214611872E-12</v>
      </c>
      <c r="P21" s="32">
        <f>(1/N22)+(1/O22)</f>
        <v>6525.0000014611869</v>
      </c>
    </row>
    <row r="22" spans="1:16" ht="15.75" thickBot="1" x14ac:dyDescent="0.3">
      <c r="D22" s="38"/>
      <c r="E22" s="1"/>
      <c r="F22" s="27" t="s">
        <v>4</v>
      </c>
      <c r="G22" s="27" t="s">
        <v>5</v>
      </c>
      <c r="H22" s="39" t="s">
        <v>6</v>
      </c>
      <c r="J22" s="199" t="s">
        <v>10</v>
      </c>
      <c r="K22" s="82">
        <f>K20/K21</f>
        <v>1.6889260279459378E-4</v>
      </c>
      <c r="L22" s="83">
        <f t="shared" ref="L22:P22" si="10">L20/L21</f>
        <v>754197.83462001453</v>
      </c>
      <c r="M22" s="84">
        <f t="shared" si="10"/>
        <v>1.6889260275677252E-4</v>
      </c>
      <c r="N22" s="82">
        <f t="shared" si="10"/>
        <v>1.5325670498084291E-4</v>
      </c>
      <c r="O22" s="83">
        <f t="shared" si="10"/>
        <v>684375</v>
      </c>
      <c r="P22" s="34">
        <f t="shared" si="10"/>
        <v>1.5325670494652311E-4</v>
      </c>
    </row>
    <row r="23" spans="1:16" ht="15.75" thickBot="1" x14ac:dyDescent="0.3">
      <c r="D23" s="182" t="s">
        <v>7</v>
      </c>
      <c r="E23" s="2" t="s">
        <v>0</v>
      </c>
      <c r="F23" s="40">
        <v>17.899999999999999</v>
      </c>
      <c r="G23" s="40">
        <v>17.899999999999999</v>
      </c>
      <c r="H23" s="41">
        <f>(F23-G23)/((1/2)*(F23+G23))</f>
        <v>0</v>
      </c>
      <c r="J23" s="57"/>
      <c r="K23" s="58"/>
      <c r="L23" s="1"/>
      <c r="M23" s="76" t="s">
        <v>4</v>
      </c>
      <c r="N23" s="76" t="s">
        <v>5</v>
      </c>
      <c r="O23" s="77" t="s">
        <v>6</v>
      </c>
    </row>
    <row r="24" spans="1:16" x14ac:dyDescent="0.25">
      <c r="D24" s="183"/>
      <c r="E24" s="4" t="s">
        <v>1</v>
      </c>
      <c r="F24" s="7">
        <v>294</v>
      </c>
      <c r="G24" s="7">
        <v>294</v>
      </c>
      <c r="H24" s="42">
        <f t="shared" ref="H24:H26" si="11">(F24-G24)/((1/2)*(F24+G24))</f>
        <v>0</v>
      </c>
      <c r="J24" s="59"/>
      <c r="K24" s="200" t="s">
        <v>7</v>
      </c>
      <c r="L24" s="60" t="s">
        <v>1</v>
      </c>
      <c r="M24" s="40">
        <v>2.1599999999999999E-4</v>
      </c>
      <c r="N24" s="40">
        <v>2.1599999999999999E-4</v>
      </c>
      <c r="O24" s="61">
        <f>(M24-N24)/((1/2)*(M24+N24))</f>
        <v>0</v>
      </c>
    </row>
    <row r="25" spans="1:16" x14ac:dyDescent="0.25">
      <c r="D25" s="183"/>
      <c r="E25" s="4" t="s">
        <v>2</v>
      </c>
      <c r="F25" s="7">
        <v>6.45</v>
      </c>
      <c r="G25" s="7">
        <v>6.46</v>
      </c>
      <c r="H25" s="42">
        <f t="shared" si="11"/>
        <v>-1.5491866769945448E-3</v>
      </c>
      <c r="J25" s="59"/>
      <c r="K25" s="201"/>
      <c r="L25" s="62" t="s">
        <v>2</v>
      </c>
      <c r="M25" s="7">
        <v>3080</v>
      </c>
      <c r="N25" s="7">
        <v>3080</v>
      </c>
      <c r="O25" s="63">
        <f t="shared" ref="O25:O47" si="12">(M25-N25)/((1/2)*(M25+N25))</f>
        <v>0</v>
      </c>
    </row>
    <row r="26" spans="1:16" ht="15.75" thickBot="1" x14ac:dyDescent="0.3">
      <c r="D26" s="184"/>
      <c r="E26" s="5" t="s">
        <v>3</v>
      </c>
      <c r="F26" s="23">
        <v>4.67</v>
      </c>
      <c r="G26" s="23">
        <v>4.67</v>
      </c>
      <c r="H26" s="43">
        <f t="shared" si="11"/>
        <v>0</v>
      </c>
      <c r="K26" s="202"/>
      <c r="L26" s="64" t="s">
        <v>3</v>
      </c>
      <c r="M26" s="65">
        <v>2.1599999999999999E-4</v>
      </c>
      <c r="N26" s="65">
        <v>2.1599999999999999E-4</v>
      </c>
      <c r="O26" s="66">
        <f t="shared" si="12"/>
        <v>0</v>
      </c>
    </row>
    <row r="27" spans="1:16" x14ac:dyDescent="0.25">
      <c r="D27" s="182" t="s">
        <v>8</v>
      </c>
      <c r="E27" s="2" t="s">
        <v>0</v>
      </c>
      <c r="F27" s="40">
        <v>745</v>
      </c>
      <c r="G27" s="40">
        <v>746</v>
      </c>
      <c r="H27" s="41">
        <f>(F27-G27)/((1/2)*(F27+G27))</f>
        <v>-1.3413816230717639E-3</v>
      </c>
      <c r="K27" s="202"/>
      <c r="L27" s="67" t="s">
        <v>1</v>
      </c>
      <c r="M27" s="68">
        <v>2.12E-4</v>
      </c>
      <c r="N27" s="68">
        <v>2.12E-4</v>
      </c>
      <c r="O27" s="69">
        <f t="shared" si="12"/>
        <v>0</v>
      </c>
    </row>
    <row r="28" spans="1:16" x14ac:dyDescent="0.25">
      <c r="D28" s="183"/>
      <c r="E28" s="4" t="s">
        <v>1</v>
      </c>
      <c r="F28" s="7">
        <v>368000</v>
      </c>
      <c r="G28" s="7">
        <v>369000</v>
      </c>
      <c r="H28" s="42">
        <f t="shared" ref="H28:H30" si="13">(F28-G28)/((1/2)*(F28+G28))</f>
        <v>-2.7137042062415195E-3</v>
      </c>
      <c r="K28" s="202"/>
      <c r="L28" s="70" t="s">
        <v>2</v>
      </c>
      <c r="M28" s="7">
        <v>3020</v>
      </c>
      <c r="N28" s="7">
        <v>3020</v>
      </c>
      <c r="O28" s="63">
        <f t="shared" si="12"/>
        <v>0</v>
      </c>
    </row>
    <row r="29" spans="1:16" ht="15.75" thickBot="1" x14ac:dyDescent="0.3">
      <c r="D29" s="183"/>
      <c r="E29" s="4" t="s">
        <v>2</v>
      </c>
      <c r="F29" s="7">
        <v>4.8300000000000003E-2</v>
      </c>
      <c r="G29" s="7">
        <v>4.8300000000000003E-2</v>
      </c>
      <c r="H29" s="42">
        <f t="shared" si="13"/>
        <v>0</v>
      </c>
      <c r="K29" s="203"/>
      <c r="L29" s="71" t="s">
        <v>3</v>
      </c>
      <c r="M29" s="23">
        <v>2.12E-4</v>
      </c>
      <c r="N29" s="23">
        <v>2.12E-4</v>
      </c>
      <c r="O29" s="72">
        <f t="shared" si="12"/>
        <v>0</v>
      </c>
    </row>
    <row r="30" spans="1:16" ht="15.75" thickBot="1" x14ac:dyDescent="0.3">
      <c r="D30" s="184"/>
      <c r="E30" s="5" t="s">
        <v>3</v>
      </c>
      <c r="F30" s="23">
        <v>4.82E-2</v>
      </c>
      <c r="G30" s="23">
        <v>4.8300000000000003E-2</v>
      </c>
      <c r="H30" s="43">
        <f t="shared" si="13"/>
        <v>-2.0725388601036863E-3</v>
      </c>
      <c r="K30" s="182" t="s">
        <v>8</v>
      </c>
      <c r="L30" s="60" t="s">
        <v>1</v>
      </c>
      <c r="M30" s="40">
        <v>0.27</v>
      </c>
      <c r="N30" s="40">
        <v>0.27100000000000002</v>
      </c>
      <c r="O30" s="61">
        <f t="shared" si="12"/>
        <v>-3.6968576709796703E-3</v>
      </c>
    </row>
    <row r="31" spans="1:16" x14ac:dyDescent="0.25">
      <c r="D31" s="182" t="s">
        <v>9</v>
      </c>
      <c r="E31" s="2" t="s">
        <v>0</v>
      </c>
      <c r="F31" s="44"/>
      <c r="G31" s="44"/>
      <c r="H31" s="45"/>
      <c r="K31" s="183"/>
      <c r="L31" s="62" t="s">
        <v>2</v>
      </c>
      <c r="M31" s="7">
        <v>52.9</v>
      </c>
      <c r="N31" s="7">
        <v>53.2</v>
      </c>
      <c r="O31" s="63">
        <f t="shared" si="12"/>
        <v>-5.6550424128181771E-3</v>
      </c>
    </row>
    <row r="32" spans="1:16" ht="15.75" thickBot="1" x14ac:dyDescent="0.3">
      <c r="D32" s="183"/>
      <c r="E32" s="4" t="s">
        <v>1</v>
      </c>
      <c r="F32" s="7">
        <v>0.29899999999999999</v>
      </c>
      <c r="G32" s="7">
        <v>0.29899999999999999</v>
      </c>
      <c r="H32" s="42">
        <f t="shared" ref="H32:H34" si="14">(F32-G32)/((1/2)*(F32+G32))</f>
        <v>0</v>
      </c>
      <c r="K32" s="183"/>
      <c r="L32" s="64" t="s">
        <v>3</v>
      </c>
      <c r="M32" s="65">
        <v>0.26900000000000002</v>
      </c>
      <c r="N32" s="65">
        <v>0.27</v>
      </c>
      <c r="O32" s="66">
        <f t="shared" si="12"/>
        <v>-3.7105751391465708E-3</v>
      </c>
    </row>
    <row r="33" spans="4:15" x14ac:dyDescent="0.25">
      <c r="D33" s="183"/>
      <c r="E33" s="4" t="s">
        <v>2</v>
      </c>
      <c r="F33" s="46"/>
      <c r="G33" s="46"/>
      <c r="H33" s="47"/>
      <c r="K33" s="183"/>
      <c r="L33" s="67" t="s">
        <v>1</v>
      </c>
      <c r="M33" s="68">
        <v>7.9200000000000007E-2</v>
      </c>
      <c r="N33" s="68">
        <v>7.9500000000000001E-2</v>
      </c>
      <c r="O33" s="69">
        <f t="shared" si="12"/>
        <v>-3.7807183364838653E-3</v>
      </c>
    </row>
    <row r="34" spans="4:15" ht="15.75" thickBot="1" x14ac:dyDescent="0.3">
      <c r="D34" s="184"/>
      <c r="E34" s="5" t="s">
        <v>3</v>
      </c>
      <c r="F34" s="23">
        <v>0.29899999999999999</v>
      </c>
      <c r="G34" s="23">
        <v>0.29899999999999999</v>
      </c>
      <c r="H34" s="43">
        <f t="shared" si="14"/>
        <v>0</v>
      </c>
      <c r="K34" s="183"/>
      <c r="L34" s="70" t="s">
        <v>2</v>
      </c>
      <c r="M34" s="7">
        <v>15.5</v>
      </c>
      <c r="N34" s="7">
        <v>15.6</v>
      </c>
      <c r="O34" s="63">
        <f t="shared" si="12"/>
        <v>-6.4308681672025489E-3</v>
      </c>
    </row>
    <row r="35" spans="4:15" ht="15.75" thickBot="1" x14ac:dyDescent="0.3">
      <c r="D35" s="182" t="s">
        <v>10</v>
      </c>
      <c r="E35" s="2" t="s">
        <v>0</v>
      </c>
      <c r="F35" s="40">
        <v>15.1</v>
      </c>
      <c r="G35" s="40">
        <v>15.1</v>
      </c>
      <c r="H35" s="41">
        <f>(F35-G35)/((1/2)*(F35+G35))</f>
        <v>0</v>
      </c>
      <c r="K35" s="184"/>
      <c r="L35" s="71" t="s">
        <v>3</v>
      </c>
      <c r="M35" s="23">
        <v>7.8799999999999995E-2</v>
      </c>
      <c r="N35" s="23">
        <v>7.9100000000000004E-2</v>
      </c>
      <c r="O35" s="72">
        <f t="shared" si="12"/>
        <v>-3.7998733375555239E-3</v>
      </c>
    </row>
    <row r="36" spans="4:15" x14ac:dyDescent="0.25">
      <c r="D36" s="183"/>
      <c r="E36" s="4" t="s">
        <v>1</v>
      </c>
      <c r="F36" s="7">
        <v>230</v>
      </c>
      <c r="G36" s="7">
        <v>230</v>
      </c>
      <c r="H36" s="42">
        <f t="shared" ref="H36:H38" si="15">(F36-G36)/((1/2)*(F36+G36))</f>
        <v>0</v>
      </c>
      <c r="K36" s="182" t="s">
        <v>9</v>
      </c>
      <c r="L36" s="60" t="s">
        <v>1</v>
      </c>
      <c r="M36" s="40">
        <v>17.600000000000001</v>
      </c>
      <c r="N36" s="40">
        <v>17.600000000000001</v>
      </c>
      <c r="O36" s="61">
        <f t="shared" si="12"/>
        <v>0</v>
      </c>
    </row>
    <row r="37" spans="4:15" x14ac:dyDescent="0.25">
      <c r="D37" s="183"/>
      <c r="E37" s="4" t="s">
        <v>2</v>
      </c>
      <c r="F37" s="7">
        <v>2790</v>
      </c>
      <c r="G37" s="7">
        <v>2790</v>
      </c>
      <c r="H37" s="42">
        <f t="shared" si="15"/>
        <v>0</v>
      </c>
      <c r="K37" s="183"/>
      <c r="L37" s="62" t="s">
        <v>2</v>
      </c>
      <c r="M37" s="56"/>
      <c r="N37" s="56"/>
      <c r="O37" s="73"/>
    </row>
    <row r="38" spans="4:15" ht="15.75" thickBot="1" x14ac:dyDescent="0.3">
      <c r="D38" s="184"/>
      <c r="E38" s="5" t="s">
        <v>3</v>
      </c>
      <c r="F38" s="23">
        <v>14.1</v>
      </c>
      <c r="G38" s="23">
        <v>14.1</v>
      </c>
      <c r="H38" s="43">
        <f t="shared" si="15"/>
        <v>0</v>
      </c>
      <c r="K38" s="183"/>
      <c r="L38" s="64" t="s">
        <v>3</v>
      </c>
      <c r="M38" s="65">
        <v>17.600000000000001</v>
      </c>
      <c r="N38" s="65">
        <v>17.600000000000001</v>
      </c>
      <c r="O38" s="66">
        <f t="shared" si="12"/>
        <v>0</v>
      </c>
    </row>
    <row r="39" spans="4:15" x14ac:dyDescent="0.25">
      <c r="K39" s="183"/>
      <c r="L39" s="67" t="s">
        <v>1</v>
      </c>
      <c r="M39" s="68">
        <v>9.4499999999999993</v>
      </c>
      <c r="N39" s="68">
        <v>9.44</v>
      </c>
      <c r="O39" s="69">
        <f t="shared" si="12"/>
        <v>1.0587612493382515E-3</v>
      </c>
    </row>
    <row r="40" spans="4:15" x14ac:dyDescent="0.25">
      <c r="K40" s="183"/>
      <c r="L40" s="70" t="s">
        <v>2</v>
      </c>
      <c r="M40" s="56"/>
      <c r="N40" s="56"/>
      <c r="O40" s="73"/>
    </row>
    <row r="41" spans="4:15" ht="15.75" thickBot="1" x14ac:dyDescent="0.3">
      <c r="K41" s="184"/>
      <c r="L41" s="71" t="s">
        <v>3</v>
      </c>
      <c r="M41" s="23">
        <v>9.4499999999999993</v>
      </c>
      <c r="N41" s="23">
        <v>9.44</v>
      </c>
      <c r="O41" s="72">
        <f t="shared" si="12"/>
        <v>1.0587612493382515E-3</v>
      </c>
    </row>
    <row r="42" spans="4:15" x14ac:dyDescent="0.25">
      <c r="K42" s="182" t="s">
        <v>10</v>
      </c>
      <c r="L42" s="60" t="s">
        <v>1</v>
      </c>
      <c r="M42" s="40">
        <v>1.6899999999999999E-4</v>
      </c>
      <c r="N42" s="40">
        <v>1.6899999999999999E-4</v>
      </c>
      <c r="O42" s="61">
        <f t="shared" si="12"/>
        <v>0</v>
      </c>
    </row>
    <row r="43" spans="4:15" x14ac:dyDescent="0.25">
      <c r="K43" s="183"/>
      <c r="L43" s="62" t="s">
        <v>2</v>
      </c>
      <c r="M43" s="7">
        <v>754000</v>
      </c>
      <c r="N43" s="7">
        <v>755000</v>
      </c>
      <c r="O43" s="63">
        <f t="shared" si="12"/>
        <v>-1.3253810470510272E-3</v>
      </c>
    </row>
    <row r="44" spans="4:15" ht="15.75" thickBot="1" x14ac:dyDescent="0.3">
      <c r="K44" s="183"/>
      <c r="L44" s="64" t="s">
        <v>3</v>
      </c>
      <c r="M44" s="65">
        <v>1.6899999999999999E-4</v>
      </c>
      <c r="N44" s="65">
        <v>1.6899999999999999E-4</v>
      </c>
      <c r="O44" s="66">
        <f t="shared" si="12"/>
        <v>0</v>
      </c>
    </row>
    <row r="45" spans="4:15" x14ac:dyDescent="0.25">
      <c r="K45" s="183"/>
      <c r="L45" s="67" t="s">
        <v>1</v>
      </c>
      <c r="M45" s="68">
        <v>1.5300000000000001E-4</v>
      </c>
      <c r="N45" s="68">
        <v>1.5300000000000001E-4</v>
      </c>
      <c r="O45" s="69">
        <f t="shared" si="12"/>
        <v>0</v>
      </c>
    </row>
    <row r="46" spans="4:15" x14ac:dyDescent="0.25">
      <c r="K46" s="183"/>
      <c r="L46" s="70" t="s">
        <v>2</v>
      </c>
      <c r="M46" s="7">
        <v>684000</v>
      </c>
      <c r="N46" s="7">
        <v>685000</v>
      </c>
      <c r="O46" s="63">
        <f t="shared" si="12"/>
        <v>-1.4609203798392988E-3</v>
      </c>
    </row>
    <row r="47" spans="4:15" ht="15.75" thickBot="1" x14ac:dyDescent="0.3">
      <c r="K47" s="184"/>
      <c r="L47" s="71" t="s">
        <v>3</v>
      </c>
      <c r="M47" s="23">
        <v>1.5300000000000001E-4</v>
      </c>
      <c r="N47" s="23">
        <v>1.5300000000000001E-4</v>
      </c>
      <c r="O47" s="72">
        <f t="shared" si="12"/>
        <v>0</v>
      </c>
    </row>
  </sheetData>
  <mergeCells count="20">
    <mergeCell ref="K42:K47"/>
    <mergeCell ref="J8:P8"/>
    <mergeCell ref="D31:D34"/>
    <mergeCell ref="D35:D38"/>
    <mergeCell ref="D8:H8"/>
    <mergeCell ref="K9:M9"/>
    <mergeCell ref="N9:P9"/>
    <mergeCell ref="J11:J13"/>
    <mergeCell ref="J14:J16"/>
    <mergeCell ref="J17:J19"/>
    <mergeCell ref="J20:J22"/>
    <mergeCell ref="K24:K29"/>
    <mergeCell ref="D10:D12"/>
    <mergeCell ref="D13:D15"/>
    <mergeCell ref="D16:D18"/>
    <mergeCell ref="D19:D21"/>
    <mergeCell ref="D23:D26"/>
    <mergeCell ref="D27:D30"/>
    <mergeCell ref="K30:K35"/>
    <mergeCell ref="K36:K41"/>
  </mergeCells>
  <conditionalFormatting sqref="H23:H38">
    <cfRule type="cellIs" dxfId="9" priority="3" operator="lessThan">
      <formula>-0.01</formula>
    </cfRule>
    <cfRule type="cellIs" dxfId="8" priority="4" operator="notEqual">
      <formula>0</formula>
    </cfRule>
  </conditionalFormatting>
  <conditionalFormatting sqref="O24:O47">
    <cfRule type="cellIs" dxfId="7" priority="1" operator="lessThan">
      <formula>-0.01</formula>
    </cfRule>
    <cfRule type="cellIs" dxfId="6" priority="2" operator="not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R1" workbookViewId="0">
      <selection activeCell="AF27" sqref="AF27"/>
    </sheetView>
  </sheetViews>
  <sheetFormatPr defaultRowHeight="15" x14ac:dyDescent="0.25"/>
  <cols>
    <col min="1" max="1" width="6.5703125" customWidth="1"/>
    <col min="2" max="2" width="7.85546875" bestFit="1" customWidth="1"/>
    <col min="3" max="3" width="7" bestFit="1" customWidth="1"/>
    <col min="4" max="4" width="11.7109375" bestFit="1" customWidth="1"/>
    <col min="5" max="6" width="10.7109375" bestFit="1" customWidth="1"/>
    <col min="7" max="7" width="11.5703125" bestFit="1" customWidth="1"/>
    <col min="8" max="9" width="9.7109375" bestFit="1" customWidth="1"/>
    <col min="10" max="10" width="10.5703125" bestFit="1" customWidth="1"/>
    <col min="11" max="11" width="11.7109375" bestFit="1" customWidth="1"/>
    <col min="12" max="13" width="10.7109375" bestFit="1" customWidth="1"/>
    <col min="14" max="14" width="11.5703125" bestFit="1" customWidth="1"/>
    <col min="15" max="15" width="9.5703125" bestFit="1" customWidth="1"/>
    <col min="17" max="17" width="5.85546875" customWidth="1"/>
    <col min="18" max="18" width="11.7109375" bestFit="1" customWidth="1"/>
    <col min="19" max="20" width="10.7109375" bestFit="1" customWidth="1"/>
    <col min="21" max="21" width="11.5703125" bestFit="1" customWidth="1"/>
    <col min="22" max="22" width="9.5703125" bestFit="1" customWidth="1"/>
  </cols>
  <sheetData>
    <row r="1" spans="1:22" x14ac:dyDescent="0.25">
      <c r="A1" s="8" t="s">
        <v>14</v>
      </c>
      <c r="B1" s="9" t="s">
        <v>15</v>
      </c>
      <c r="C1" s="17"/>
      <c r="D1" s="178" t="s">
        <v>63</v>
      </c>
      <c r="E1" s="18" t="s">
        <v>11</v>
      </c>
      <c r="F1" s="18" t="s">
        <v>33</v>
      </c>
      <c r="G1" s="18" t="s">
        <v>34</v>
      </c>
      <c r="H1" s="18" t="s">
        <v>37</v>
      </c>
      <c r="I1" s="18" t="s">
        <v>43</v>
      </c>
      <c r="J1" s="18" t="s">
        <v>44</v>
      </c>
      <c r="K1" s="18" t="s">
        <v>45</v>
      </c>
      <c r="L1" s="18" t="s">
        <v>46</v>
      </c>
      <c r="M1" s="19" t="s">
        <v>47</v>
      </c>
    </row>
    <row r="2" spans="1:22" x14ac:dyDescent="0.25">
      <c r="A2" s="88" t="s">
        <v>16</v>
      </c>
      <c r="B2" s="32">
        <v>9.9999999999999995E-7</v>
      </c>
      <c r="C2" s="20" t="s">
        <v>7</v>
      </c>
      <c r="D2" s="176" t="s">
        <v>70</v>
      </c>
      <c r="E2" s="7">
        <v>432</v>
      </c>
      <c r="F2" s="7">
        <f>0.693/E2</f>
        <v>1.6041666666666665E-3</v>
      </c>
      <c r="G2" s="7">
        <f>(1-EXP(-(F2)*$B$3))</f>
        <v>3.9310637868486542E-2</v>
      </c>
      <c r="H2" s="7">
        <f>'Isotope Specific Factors'!D3</f>
        <v>2.77E-8</v>
      </c>
      <c r="I2" s="7">
        <f>'Isotope Specific Factors'!E3</f>
        <v>1.3799999999999999E-8</v>
      </c>
      <c r="J2" s="7">
        <f>'Isotope Specific Factors'!F3</f>
        <v>2.5799999999999999E-8</v>
      </c>
      <c r="K2" s="7">
        <f>'Isotope Specific Factors'!G3</f>
        <v>2.77E-8</v>
      </c>
      <c r="L2" s="7">
        <f>'Isotope Specific Factors'!C3</f>
        <v>1.8699999999999999E-8</v>
      </c>
      <c r="M2" s="21">
        <v>1</v>
      </c>
    </row>
    <row r="3" spans="1:22" x14ac:dyDescent="0.25">
      <c r="A3" s="88" t="s">
        <v>17</v>
      </c>
      <c r="B3" s="89">
        <v>25</v>
      </c>
      <c r="C3" s="20" t="s">
        <v>8</v>
      </c>
      <c r="D3" s="176" t="s">
        <v>70</v>
      </c>
      <c r="E3" s="7">
        <v>5.27</v>
      </c>
      <c r="F3" s="7">
        <f t="shared" ref="F3:F5" si="0">0.693/E3</f>
        <v>0.13149905123339659</v>
      </c>
      <c r="G3" s="7">
        <f t="shared" ref="G3:G5" si="1">(1-EXP(-(F3)*$B$3))</f>
        <v>0.9626520136123895</v>
      </c>
      <c r="H3" s="7">
        <f>'Isotope Specific Factors'!D4</f>
        <v>1.24E-5</v>
      </c>
      <c r="I3" s="7">
        <f>'Isotope Specific Factors'!E4</f>
        <v>2.26E-6</v>
      </c>
      <c r="J3" s="7">
        <f>'Isotope Specific Factors'!F4</f>
        <v>6.4899999999999997E-6</v>
      </c>
      <c r="K3" s="7">
        <f>'Isotope Specific Factors'!G4</f>
        <v>1.04E-5</v>
      </c>
      <c r="L3" s="7">
        <f>'Isotope Specific Factors'!C4</f>
        <v>2.1900000000000002E-6</v>
      </c>
      <c r="M3" s="21">
        <v>1</v>
      </c>
    </row>
    <row r="4" spans="1:22" x14ac:dyDescent="0.25">
      <c r="A4" s="90" t="s">
        <v>18</v>
      </c>
      <c r="B4" s="89">
        <f>$B$5*$B$6</f>
        <v>250</v>
      </c>
      <c r="C4" s="20" t="s">
        <v>9</v>
      </c>
      <c r="D4" s="176" t="s">
        <v>70</v>
      </c>
      <c r="E4" s="7">
        <v>12.3</v>
      </c>
      <c r="F4" s="7">
        <f t="shared" si="0"/>
        <v>5.6341463414634141E-2</v>
      </c>
      <c r="G4" s="7">
        <f t="shared" si="1"/>
        <v>0.75549917243911779</v>
      </c>
      <c r="H4" s="7">
        <f>'Isotope Specific Factors'!D6</f>
        <v>0</v>
      </c>
      <c r="I4" s="7">
        <f>'Isotope Specific Factors'!E6</f>
        <v>0</v>
      </c>
      <c r="J4" s="7">
        <f>'Isotope Specific Factors'!F6</f>
        <v>0</v>
      </c>
      <c r="K4" s="7">
        <f>'Isotope Specific Factors'!G6</f>
        <v>0</v>
      </c>
      <c r="L4" s="7">
        <f>'Isotope Specific Factors'!C6</f>
        <v>0</v>
      </c>
      <c r="M4" s="21">
        <v>1</v>
      </c>
    </row>
    <row r="5" spans="1:22" ht="15.75" thickBot="1" x14ac:dyDescent="0.3">
      <c r="A5" s="88" t="s">
        <v>60</v>
      </c>
      <c r="B5" s="89">
        <v>50</v>
      </c>
      <c r="C5" s="22" t="s">
        <v>10</v>
      </c>
      <c r="D5" s="177" t="s">
        <v>70</v>
      </c>
      <c r="E5" s="23">
        <v>87.7</v>
      </c>
      <c r="F5" s="23">
        <f t="shared" si="0"/>
        <v>7.9019384264538192E-3</v>
      </c>
      <c r="G5" s="23">
        <f t="shared" si="1"/>
        <v>0.17925963395695022</v>
      </c>
      <c r="H5" s="23">
        <f>'Isotope Specific Factors'!D7</f>
        <v>6.9200000000000004E-11</v>
      </c>
      <c r="I5" s="23">
        <f>'Isotope Specific Factors'!E7</f>
        <v>4.8100000000000001E-11</v>
      </c>
      <c r="J5" s="23">
        <f>'Isotope Specific Factors'!F7</f>
        <v>6.3000000000000002E-11</v>
      </c>
      <c r="K5" s="23">
        <f>'Isotope Specific Factors'!G7</f>
        <v>6.8700000000000006E-11</v>
      </c>
      <c r="L5" s="23">
        <f>'Isotope Specific Factors'!C7</f>
        <v>3.6800000000000002E-10</v>
      </c>
      <c r="M5" s="24">
        <v>1</v>
      </c>
    </row>
    <row r="6" spans="1:22" ht="15.75" thickBot="1" x14ac:dyDescent="0.3">
      <c r="A6" s="88" t="s">
        <v>61</v>
      </c>
      <c r="B6" s="89">
        <v>5</v>
      </c>
      <c r="C6" s="91"/>
      <c r="D6" s="92"/>
      <c r="E6" s="92"/>
      <c r="F6" s="92"/>
      <c r="G6" s="92"/>
      <c r="H6" s="93"/>
      <c r="I6" s="94"/>
    </row>
    <row r="7" spans="1:22" x14ac:dyDescent="0.25">
      <c r="A7" s="88" t="s">
        <v>19</v>
      </c>
      <c r="B7" s="95">
        <v>25</v>
      </c>
      <c r="C7" s="96"/>
      <c r="D7" s="97" t="s">
        <v>39</v>
      </c>
      <c r="E7" s="97" t="s">
        <v>48</v>
      </c>
      <c r="F7" s="97" t="s">
        <v>49</v>
      </c>
      <c r="G7" s="97" t="s">
        <v>50</v>
      </c>
      <c r="H7" s="98" t="s">
        <v>51</v>
      </c>
      <c r="I7" s="99"/>
      <c r="J7" s="96"/>
      <c r="K7" s="100" t="s">
        <v>39</v>
      </c>
      <c r="L7" s="100" t="s">
        <v>48</v>
      </c>
      <c r="M7" s="100" t="s">
        <v>49</v>
      </c>
      <c r="N7" s="100" t="s">
        <v>50</v>
      </c>
      <c r="O7" s="101" t="s">
        <v>51</v>
      </c>
      <c r="Q7" s="96"/>
      <c r="R7" s="102" t="s">
        <v>39</v>
      </c>
      <c r="S7" s="102" t="s">
        <v>48</v>
      </c>
      <c r="T7" s="102" t="s">
        <v>49</v>
      </c>
      <c r="U7" s="102" t="s">
        <v>50</v>
      </c>
      <c r="V7" s="103" t="s">
        <v>51</v>
      </c>
    </row>
    <row r="8" spans="1:22" ht="15.75" thickBot="1" x14ac:dyDescent="0.3">
      <c r="A8" s="104" t="s">
        <v>21</v>
      </c>
      <c r="B8" s="105">
        <v>8</v>
      </c>
      <c r="C8" s="20" t="s">
        <v>7</v>
      </c>
      <c r="D8" s="7">
        <v>0.108</v>
      </c>
      <c r="E8" s="7">
        <v>9.4600000000000004E-2</v>
      </c>
      <c r="F8" s="7">
        <v>9.5000000000000001E-2</v>
      </c>
      <c r="G8" s="7">
        <v>9.69E-2</v>
      </c>
      <c r="H8" s="21">
        <v>8.4400000000000003E-2</v>
      </c>
      <c r="I8" s="106"/>
      <c r="J8" s="20" t="s">
        <v>7</v>
      </c>
      <c r="K8" s="7">
        <v>0.19400000000000001</v>
      </c>
      <c r="L8" s="7">
        <v>0.16700000000000001</v>
      </c>
      <c r="M8" s="7">
        <v>0.16700000000000001</v>
      </c>
      <c r="N8" s="7">
        <v>0.16400000000000001</v>
      </c>
      <c r="O8" s="21">
        <v>0.15</v>
      </c>
      <c r="Q8" s="20" t="s">
        <v>7</v>
      </c>
      <c r="R8" s="7">
        <v>0.32</v>
      </c>
      <c r="S8" s="7">
        <v>0.29699999999999999</v>
      </c>
      <c r="T8" s="7">
        <v>0.28999999999999998</v>
      </c>
      <c r="U8" s="7">
        <v>0.28499999999999998</v>
      </c>
      <c r="V8" s="21">
        <v>0.27100000000000002</v>
      </c>
    </row>
    <row r="9" spans="1:22" x14ac:dyDescent="0.25">
      <c r="C9" s="20" t="s">
        <v>8</v>
      </c>
      <c r="D9" s="7">
        <v>9.8299999999999998E-2</v>
      </c>
      <c r="E9" s="7">
        <v>4.2599999999999999E-2</v>
      </c>
      <c r="F9" s="7">
        <v>6.5500000000000003E-2</v>
      </c>
      <c r="G9" s="7">
        <v>8.4900000000000003E-2</v>
      </c>
      <c r="H9" s="21">
        <v>2.8299999999999999E-2</v>
      </c>
      <c r="I9" s="106"/>
      <c r="J9" s="20" t="s">
        <v>8</v>
      </c>
      <c r="K9" s="7">
        <v>0.17699999999999999</v>
      </c>
      <c r="L9" s="7">
        <v>7.9799999999999996E-2</v>
      </c>
      <c r="M9" s="7">
        <v>0.122</v>
      </c>
      <c r="N9" s="7">
        <v>0.159</v>
      </c>
      <c r="O9" s="21">
        <v>5.21E-2</v>
      </c>
      <c r="Q9" s="20" t="s">
        <v>8</v>
      </c>
      <c r="R9" s="7">
        <v>0.33300000000000002</v>
      </c>
      <c r="S9" s="7">
        <v>0.14799999999999999</v>
      </c>
      <c r="T9" s="7">
        <v>0.222</v>
      </c>
      <c r="U9" s="7">
        <v>0.28799999999999998</v>
      </c>
      <c r="V9" s="21">
        <v>9.8599999999999993E-2</v>
      </c>
    </row>
    <row r="10" spans="1:22" x14ac:dyDescent="0.25">
      <c r="C10" s="20" t="s">
        <v>9</v>
      </c>
      <c r="D10" s="7">
        <v>0.9</v>
      </c>
      <c r="E10" s="7">
        <v>0.9</v>
      </c>
      <c r="F10" s="7">
        <v>0.9</v>
      </c>
      <c r="G10" s="7">
        <v>0.9</v>
      </c>
      <c r="H10" s="21">
        <v>0.9</v>
      </c>
      <c r="I10" s="106"/>
      <c r="J10" s="20" t="s">
        <v>9</v>
      </c>
      <c r="K10" s="7">
        <v>0.9</v>
      </c>
      <c r="L10" s="7">
        <v>0.9</v>
      </c>
      <c r="M10" s="7">
        <v>0.9</v>
      </c>
      <c r="N10" s="7">
        <v>0.9</v>
      </c>
      <c r="O10" s="21">
        <v>0.9</v>
      </c>
      <c r="Q10" s="20" t="s">
        <v>9</v>
      </c>
      <c r="R10" s="7">
        <v>0.9</v>
      </c>
      <c r="S10" s="7">
        <v>0.9</v>
      </c>
      <c r="T10" s="7">
        <v>0.9</v>
      </c>
      <c r="U10" s="7">
        <v>0.9</v>
      </c>
      <c r="V10" s="21">
        <v>0.9</v>
      </c>
    </row>
    <row r="11" spans="1:22" ht="15.75" thickBot="1" x14ac:dyDescent="0.3">
      <c r="C11" s="22" t="s">
        <v>10</v>
      </c>
      <c r="D11" s="23">
        <v>0.17899999999999999</v>
      </c>
      <c r="E11" s="23">
        <v>0.153</v>
      </c>
      <c r="F11" s="23">
        <v>0.16</v>
      </c>
      <c r="G11" s="23">
        <v>0.17100000000000001</v>
      </c>
      <c r="H11" s="24">
        <v>0.10299999999999999</v>
      </c>
      <c r="I11" s="106"/>
      <c r="J11" s="22" t="s">
        <v>10</v>
      </c>
      <c r="K11" s="23">
        <v>0.28399999999999997</v>
      </c>
      <c r="L11" s="23">
        <v>0.27</v>
      </c>
      <c r="M11" s="23">
        <v>0.28299999999999997</v>
      </c>
      <c r="N11" s="23">
        <v>0.28299999999999997</v>
      </c>
      <c r="O11" s="24">
        <v>0.184</v>
      </c>
      <c r="Q11" s="22" t="s">
        <v>10</v>
      </c>
      <c r="R11" s="23">
        <v>0.59199999999999997</v>
      </c>
      <c r="S11" s="23">
        <v>0.47199999999999998</v>
      </c>
      <c r="T11" s="23">
        <v>0.502</v>
      </c>
      <c r="U11" s="23">
        <v>0.51800000000000002</v>
      </c>
      <c r="V11" s="24">
        <v>0.33100000000000002</v>
      </c>
    </row>
    <row r="12" spans="1:22" ht="15.75" x14ac:dyDescent="0.25">
      <c r="C12" s="107"/>
      <c r="D12" s="204" t="s">
        <v>52</v>
      </c>
      <c r="E12" s="205"/>
      <c r="F12" s="205"/>
      <c r="G12" s="205"/>
      <c r="H12" s="206"/>
      <c r="I12" s="108"/>
      <c r="J12" s="109"/>
      <c r="K12" s="207" t="s">
        <v>53</v>
      </c>
      <c r="L12" s="208"/>
      <c r="M12" s="208"/>
      <c r="N12" s="208"/>
      <c r="O12" s="209"/>
      <c r="P12" s="6"/>
      <c r="Q12" s="109"/>
      <c r="R12" s="210" t="s">
        <v>54</v>
      </c>
      <c r="S12" s="211"/>
      <c r="T12" s="211"/>
      <c r="U12" s="211"/>
      <c r="V12" s="212"/>
    </row>
    <row r="13" spans="1:22" ht="15.75" thickBot="1" x14ac:dyDescent="0.3">
      <c r="C13" s="38"/>
      <c r="D13" s="27" t="s">
        <v>55</v>
      </c>
      <c r="E13" s="27" t="s">
        <v>56</v>
      </c>
      <c r="F13" s="27" t="s">
        <v>57</v>
      </c>
      <c r="G13" s="27" t="s">
        <v>58</v>
      </c>
      <c r="H13" s="28" t="s">
        <v>59</v>
      </c>
      <c r="I13" s="110"/>
      <c r="J13" s="38"/>
      <c r="K13" s="111" t="s">
        <v>55</v>
      </c>
      <c r="L13" s="111" t="s">
        <v>56</v>
      </c>
      <c r="M13" s="111" t="s">
        <v>57</v>
      </c>
      <c r="N13" s="111" t="s">
        <v>58</v>
      </c>
      <c r="O13" s="112" t="s">
        <v>59</v>
      </c>
      <c r="Q13" s="38"/>
      <c r="R13" s="76" t="s">
        <v>55</v>
      </c>
      <c r="S13" s="76" t="s">
        <v>56</v>
      </c>
      <c r="T13" s="76" t="s">
        <v>57</v>
      </c>
      <c r="U13" s="76" t="s">
        <v>58</v>
      </c>
      <c r="V13" s="113" t="s">
        <v>59</v>
      </c>
    </row>
    <row r="14" spans="1:22" x14ac:dyDescent="0.25">
      <c r="C14" s="213" t="s">
        <v>7</v>
      </c>
      <c r="D14" s="40">
        <f>$B$2*$B$3*$F$2</f>
        <v>4.0104166666666658E-8</v>
      </c>
      <c r="E14" s="40">
        <f>$B$2*$B$3*$F$2</f>
        <v>4.0104166666666658E-8</v>
      </c>
      <c r="F14" s="40">
        <f>$B$2*$B$3*$F$2</f>
        <v>4.0104166666666658E-8</v>
      </c>
      <c r="G14" s="40">
        <f>$B$2*$B$3*$F$2</f>
        <v>4.0104166666666658E-8</v>
      </c>
      <c r="H14" s="53">
        <f>$B$2*$B$3*$F$2</f>
        <v>4.0104166666666658E-8</v>
      </c>
      <c r="I14" s="114"/>
      <c r="J14" s="213" t="s">
        <v>7</v>
      </c>
      <c r="K14" s="40">
        <f>$B$2*$B$3*$F$2</f>
        <v>4.0104166666666658E-8</v>
      </c>
      <c r="L14" s="40">
        <f>$B$2*$B$3*$F$2</f>
        <v>4.0104166666666658E-8</v>
      </c>
      <c r="M14" s="40">
        <f>$B$2*$B$3*$F$2</f>
        <v>4.0104166666666658E-8</v>
      </c>
      <c r="N14" s="40">
        <f>$B$2*$B$3*$F$2</f>
        <v>4.0104166666666658E-8</v>
      </c>
      <c r="O14" s="115">
        <f>$B$2*$B$3*$F$2</f>
        <v>4.0104166666666658E-8</v>
      </c>
      <c r="Q14" s="213" t="s">
        <v>7</v>
      </c>
      <c r="R14" s="40">
        <f>$B$2*$B$3*$F$2</f>
        <v>4.0104166666666658E-8</v>
      </c>
      <c r="S14" s="40">
        <f>$B$2*$B$3*$F$2</f>
        <v>4.0104166666666658E-8</v>
      </c>
      <c r="T14" s="40">
        <f>$B$2*$B$3*$F$2</f>
        <v>4.0104166666666658E-8</v>
      </c>
      <c r="U14" s="40">
        <f>$B$2*$B$3*$F$2</f>
        <v>4.0104166666666658E-8</v>
      </c>
      <c r="V14" s="115">
        <f>$B$2*$B$3*$F$2</f>
        <v>4.0104166666666658E-8</v>
      </c>
    </row>
    <row r="15" spans="1:22" x14ac:dyDescent="0.25">
      <c r="C15" s="214"/>
      <c r="D15" s="7">
        <f>$G$2*H$2*$B$4*(1/365)*$B$7*$B$8*(1/24)*$M$2*D$8</f>
        <v>6.7124260415162296E-10</v>
      </c>
      <c r="E15" s="7">
        <f>$G$2*I$2*$B$4*(1/365)*$B$7*$B$8*(1/24)*$M$2*E$8</f>
        <v>2.9291810230908566E-10</v>
      </c>
      <c r="F15" s="7">
        <f>$G$2*J$2*$B$4*(1/365)*$B$7*$B$8*(1/24)*$M$2*F$8</f>
        <v>5.4994505374235454E-10</v>
      </c>
      <c r="G15" s="7">
        <f>$G$2*K$2*$B$4*(1/365)*$B$7*$B$8*(1/24)*$M$2*G$8</f>
        <v>6.022537809471506E-10</v>
      </c>
      <c r="H15" s="21">
        <f>$G$2*L$2*$B$4*(1/365)*$B$7*$B$8*(1/24)*$M$2*H$8</f>
        <v>3.5412781698102135E-10</v>
      </c>
      <c r="I15" s="114"/>
      <c r="J15" s="214"/>
      <c r="K15" s="7">
        <f>$G$2*H$2*$B$4*(1/365)*$B$7*$B$8*(1/24)*$M$2*K$8</f>
        <v>1.2057506037538412E-9</v>
      </c>
      <c r="L15" s="7">
        <f>$G$2*I$2*$B$4*(1/365)*$B$7*$B$8*(1/24)*$M$2*L$8</f>
        <v>5.1709643853718089E-10</v>
      </c>
      <c r="M15" s="7">
        <f>$G$2*J$2*$B$4*(1/365)*$B$7*$B$8*(1/24)*$M$2*M$8</f>
        <v>9.667455155260339E-10</v>
      </c>
      <c r="N15" s="7">
        <f>$G$2*K$2*$B$4*(1/365)*$B$7*$B$8*(1/24)*$M$2*N$8</f>
        <v>1.0192943248228349E-9</v>
      </c>
      <c r="O15" s="116">
        <f>$G$2*L$2*$B$4*(1/365)*$B$7*$B$8*(1/24)*$M$2*O$8</f>
        <v>6.2937408231224169E-10</v>
      </c>
      <c r="Q15" s="214"/>
      <c r="R15" s="7">
        <f>$G$2*H$2*$B$4*(1/365)*$B$7*$B$8*(1/24)*$M$2*R$8</f>
        <v>1.9888669752640682E-9</v>
      </c>
      <c r="S15" s="7">
        <f>$G$2*I$2*$B$4*(1/365)*$B$7*$B$8*(1/24)*$M$2*S$8</f>
        <v>9.196266002727107E-10</v>
      </c>
      <c r="T15" s="7">
        <f>$G$2*J$2*$B$4*(1/365)*$B$7*$B$8*(1/24)*$M$2*T$8</f>
        <v>1.6787796377398191E-9</v>
      </c>
      <c r="U15" s="7">
        <f>$G$2*K$2*$B$4*(1/365)*$B$7*$B$8*(1/24)*$M$2*U$8</f>
        <v>1.7713346498445603E-9</v>
      </c>
      <c r="V15" s="116">
        <f>$G$2*L$2*$B$4*(1/365)*$B$7*$B$8*(1/24)*$M$2*V$8</f>
        <v>1.13706917537745E-9</v>
      </c>
    </row>
    <row r="16" spans="1:22" ht="15.75" thickBot="1" x14ac:dyDescent="0.3">
      <c r="C16" s="215"/>
      <c r="D16" s="117">
        <f>D14/D15</f>
        <v>59.746157974215485</v>
      </c>
      <c r="E16" s="117">
        <f t="shared" ref="E16:H16" si="2">E14/E15</f>
        <v>136.91255798301242</v>
      </c>
      <c r="F16" s="117">
        <f t="shared" si="2"/>
        <v>72.923951936215033</v>
      </c>
      <c r="G16" s="117">
        <f t="shared" si="2"/>
        <v>66.590145110580735</v>
      </c>
      <c r="H16" s="118">
        <f t="shared" si="2"/>
        <v>113.24771662548031</v>
      </c>
      <c r="I16" s="119"/>
      <c r="J16" s="215"/>
      <c r="K16" s="117">
        <f>K14/K15</f>
        <v>33.260747738223053</v>
      </c>
      <c r="L16" s="117">
        <f t="shared" ref="L16:O16" si="3">L14/L15</f>
        <v>77.556455001155527</v>
      </c>
      <c r="M16" s="117">
        <f t="shared" si="3"/>
        <v>41.48368523317621</v>
      </c>
      <c r="N16" s="117">
        <f t="shared" si="3"/>
        <v>39.345030861068736</v>
      </c>
      <c r="O16" s="120">
        <f t="shared" si="3"/>
        <v>63.720715221270254</v>
      </c>
      <c r="Q16" s="215"/>
      <c r="R16" s="117">
        <f>R14/R15</f>
        <v>20.164328316297727</v>
      </c>
      <c r="S16" s="117">
        <f t="shared" ref="S16:V16" si="4">S14/S15</f>
        <v>43.609185135329888</v>
      </c>
      <c r="T16" s="117">
        <f t="shared" si="4"/>
        <v>23.888880806691134</v>
      </c>
      <c r="U16" s="117">
        <f t="shared" si="4"/>
        <v>22.640649337597452</v>
      </c>
      <c r="V16" s="120">
        <f t="shared" si="4"/>
        <v>35.269768572658812</v>
      </c>
    </row>
    <row r="17" spans="3:22" x14ac:dyDescent="0.25">
      <c r="C17" s="213" t="s">
        <v>8</v>
      </c>
      <c r="D17" s="146">
        <f>$B$2*$B$3*$F$3</f>
        <v>3.2874762808349142E-6</v>
      </c>
      <c r="E17" s="40">
        <f>$B$2*$B$3*$F$3</f>
        <v>3.2874762808349142E-6</v>
      </c>
      <c r="F17" s="40">
        <f>$B$2*$B$3*$F$3</f>
        <v>3.2874762808349142E-6</v>
      </c>
      <c r="G17" s="40">
        <f>$B$2*$B$3*$F$3</f>
        <v>3.2874762808349142E-6</v>
      </c>
      <c r="H17" s="53">
        <f>$B$2*$B$3*$F$3</f>
        <v>3.2874762808349142E-6</v>
      </c>
      <c r="I17" s="114"/>
      <c r="J17" s="213" t="s">
        <v>8</v>
      </c>
      <c r="K17" s="146">
        <f>$B$2*$B$3*$F$3</f>
        <v>3.2874762808349142E-6</v>
      </c>
      <c r="L17" s="40">
        <f>$B$2*$B$3*$F$3</f>
        <v>3.2874762808349142E-6</v>
      </c>
      <c r="M17" s="40">
        <f>$B$2*$B$3*$F$3</f>
        <v>3.2874762808349142E-6</v>
      </c>
      <c r="N17" s="40">
        <f>$B$2*$B$3*$F$3</f>
        <v>3.2874762808349142E-6</v>
      </c>
      <c r="O17" s="53">
        <f>$B$2*$B$3*$F$3</f>
        <v>3.2874762808349142E-6</v>
      </c>
      <c r="Q17" s="213" t="s">
        <v>8</v>
      </c>
      <c r="R17" s="146">
        <f>$B$2*$B$3*$F$3</f>
        <v>3.2874762808349142E-6</v>
      </c>
      <c r="S17" s="40">
        <f>$B$2*$B$3*$F$3</f>
        <v>3.2874762808349142E-6</v>
      </c>
      <c r="T17" s="40">
        <f>$B$2*$B$3*$F$3</f>
        <v>3.2874762808349142E-6</v>
      </c>
      <c r="U17" s="40">
        <f>$B$2*$B$3*$F$3</f>
        <v>3.2874762808349142E-6</v>
      </c>
      <c r="V17" s="53">
        <f>$B$2*$B$3*$F$3</f>
        <v>3.2874762808349142E-6</v>
      </c>
    </row>
    <row r="18" spans="3:22" x14ac:dyDescent="0.25">
      <c r="C18" s="214"/>
      <c r="D18" s="148">
        <f>$G$3*H$3*$B$4*(1/365)*$B$7*$B$8*(1/24)*$M$3*D$9</f>
        <v>6.69746456867816E-6</v>
      </c>
      <c r="E18" s="7">
        <f>$G$3*I$3*$B$4*(1/365)*$B$7*$B$8*(1/24)*$M$3*E$9</f>
        <v>5.2899706200083557E-7</v>
      </c>
      <c r="F18" s="7">
        <f>$G$3*J$3*$B$4*(1/365)*$B$7*$B$8*(1/24)*$M$3*F$9</f>
        <v>2.3357223614529607E-6</v>
      </c>
      <c r="G18" s="7">
        <f>$G$3*K$3*$B$4*(1/365)*$B$7*$B$8*(1/24)*$M$3*G$9</f>
        <v>4.8515024083287406E-6</v>
      </c>
      <c r="H18" s="21">
        <f>$G$3*L$3*$B$4*(1/365)*$B$7*$B$8*(1/24)*$M$3*H$9</f>
        <v>3.4053814981538283E-7</v>
      </c>
      <c r="I18" s="114"/>
      <c r="J18" s="214"/>
      <c r="K18" s="148">
        <f>$G$3*H$3*$B$4*(1/365)*$B$7*$B$8*(1/24)*$M$3*K$9</f>
        <v>1.2059524197925068E-5</v>
      </c>
      <c r="L18" s="7">
        <f>$G$3*I$3*$B$4*(1/365)*$B$7*$B$8*(1/24)*$M$3*L$9</f>
        <v>9.9093815839593141E-7</v>
      </c>
      <c r="M18" s="7">
        <f>$G$3*J$3*$B$4*(1/365)*$B$7*$B$8*(1/24)*$M$3*M$9</f>
        <v>4.3505057724772695E-6</v>
      </c>
      <c r="N18" s="7">
        <f>$G$3*K$3*$B$4*(1/365)*$B$7*$B$8*(1/24)*$M$3*N$9</f>
        <v>9.085852566834744E-6</v>
      </c>
      <c r="O18" s="21">
        <f>$G$3*L$3*$B$4*(1/365)*$B$7*$B$8*(1/24)*$M$3*O$9</f>
        <v>6.2692712386506872E-7</v>
      </c>
      <c r="Q18" s="214"/>
      <c r="R18" s="148">
        <f>$G$3*H$3*$B$4*(1/365)*$B$7*$B$8*(1/24)*$M$3*R$9</f>
        <v>2.2688257389316658E-5</v>
      </c>
      <c r="S18" s="7">
        <f>$G$3*I$3*$B$4*(1/365)*$B$7*$B$8*(1/24)*$M$3*S$9</f>
        <v>1.8378301684536073E-6</v>
      </c>
      <c r="T18" s="7">
        <f>$G$3*J$3*$B$4*(1/365)*$B$7*$B$8*(1/24)*$M$3*T$9</f>
        <v>7.9164941105733934E-6</v>
      </c>
      <c r="U18" s="7">
        <f>$G$3*K$3*$B$4*(1/365)*$B$7*$B$8*(1/24)*$M$3*U$9</f>
        <v>1.6457393328606327E-5</v>
      </c>
      <c r="V18" s="21">
        <f>$G$3*L$3*$B$4*(1/365)*$B$7*$B$8*(1/24)*$M$3*V$9</f>
        <v>1.1864686067772701E-6</v>
      </c>
    </row>
    <row r="19" spans="3:22" ht="15.75" thickBot="1" x14ac:dyDescent="0.3">
      <c r="C19" s="215"/>
      <c r="D19" s="54">
        <f>D17/D18</f>
        <v>0.49085385180077845</v>
      </c>
      <c r="E19" s="117">
        <f t="shared" ref="E19:H19" si="5">E17/E18</f>
        <v>6.2145454426545026</v>
      </c>
      <c r="F19" s="117">
        <f t="shared" si="5"/>
        <v>1.4074773333890185</v>
      </c>
      <c r="G19" s="117">
        <f t="shared" si="5"/>
        <v>0.67762025124241743</v>
      </c>
      <c r="H19" s="118">
        <f t="shared" si="5"/>
        <v>9.6537679629056701</v>
      </c>
      <c r="I19" s="119"/>
      <c r="J19" s="215"/>
      <c r="K19" s="54">
        <f>K17/K18</f>
        <v>0.27260414481365269</v>
      </c>
      <c r="L19" s="117">
        <f t="shared" ref="L19:O19" si="6">L17/L18</f>
        <v>3.3175392964546595</v>
      </c>
      <c r="M19" s="117">
        <f t="shared" si="6"/>
        <v>0.75565381423754696</v>
      </c>
      <c r="N19" s="117">
        <f t="shared" si="6"/>
        <v>0.36182364358793229</v>
      </c>
      <c r="O19" s="118">
        <f t="shared" si="6"/>
        <v>5.2437933464535602</v>
      </c>
      <c r="Q19" s="215"/>
      <c r="R19" s="54">
        <f>R17/R18</f>
        <v>0.14489769859464421</v>
      </c>
      <c r="S19" s="117">
        <f t="shared" ref="S19:V19" si="7">S17/S18</f>
        <v>1.7887813233586609</v>
      </c>
      <c r="T19" s="117">
        <f t="shared" si="7"/>
        <v>0.41526921322964283</v>
      </c>
      <c r="U19" s="117">
        <f t="shared" si="7"/>
        <v>0.19975680323083764</v>
      </c>
      <c r="V19" s="118">
        <f t="shared" si="7"/>
        <v>2.7708076404688691</v>
      </c>
    </row>
    <row r="20" spans="3:22" x14ac:dyDescent="0.25">
      <c r="C20" s="213" t="s">
        <v>9</v>
      </c>
      <c r="D20" s="55"/>
      <c r="E20" s="55"/>
      <c r="F20" s="55"/>
      <c r="G20" s="55"/>
      <c r="H20" s="121"/>
      <c r="I20" s="114"/>
      <c r="J20" s="213" t="s">
        <v>9</v>
      </c>
      <c r="K20" s="55"/>
      <c r="L20" s="55"/>
      <c r="M20" s="55"/>
      <c r="N20" s="55"/>
      <c r="O20" s="121"/>
      <c r="Q20" s="213" t="s">
        <v>9</v>
      </c>
      <c r="R20" s="55"/>
      <c r="S20" s="55"/>
      <c r="T20" s="55"/>
      <c r="U20" s="55"/>
      <c r="V20" s="121"/>
    </row>
    <row r="21" spans="3:22" x14ac:dyDescent="0.25">
      <c r="C21" s="214"/>
      <c r="D21" s="56"/>
      <c r="E21" s="56"/>
      <c r="F21" s="56"/>
      <c r="G21" s="56"/>
      <c r="H21" s="122"/>
      <c r="I21" s="114"/>
      <c r="J21" s="214"/>
      <c r="K21" s="56"/>
      <c r="L21" s="56"/>
      <c r="M21" s="56"/>
      <c r="N21" s="56"/>
      <c r="O21" s="122"/>
      <c r="Q21" s="214"/>
      <c r="R21" s="56"/>
      <c r="S21" s="56"/>
      <c r="T21" s="56"/>
      <c r="U21" s="56"/>
      <c r="V21" s="122"/>
    </row>
    <row r="22" spans="3:22" ht="15.75" thickBot="1" x14ac:dyDescent="0.3">
      <c r="C22" s="215"/>
      <c r="D22" s="123"/>
      <c r="E22" s="123"/>
      <c r="F22" s="123"/>
      <c r="G22" s="123"/>
      <c r="H22" s="124"/>
      <c r="I22" s="119"/>
      <c r="J22" s="215"/>
      <c r="K22" s="123"/>
      <c r="L22" s="123"/>
      <c r="M22" s="123"/>
      <c r="N22" s="123"/>
      <c r="O22" s="124"/>
      <c r="Q22" s="215"/>
      <c r="R22" s="123"/>
      <c r="S22" s="123"/>
      <c r="T22" s="123"/>
      <c r="U22" s="123"/>
      <c r="V22" s="124"/>
    </row>
    <row r="23" spans="3:22" x14ac:dyDescent="0.25">
      <c r="C23" s="213" t="s">
        <v>10</v>
      </c>
      <c r="D23" s="40">
        <f>$B$2*$B$3*$F$5</f>
        <v>1.9754846066134545E-7</v>
      </c>
      <c r="E23" s="40">
        <f>$B$2*$B$3*$F$5</f>
        <v>1.9754846066134545E-7</v>
      </c>
      <c r="F23" s="40">
        <f>$B$2*$B$3*$F$5</f>
        <v>1.9754846066134545E-7</v>
      </c>
      <c r="G23" s="40">
        <f>$B$2*$B$3*$F$5</f>
        <v>1.9754846066134545E-7</v>
      </c>
      <c r="H23" s="53">
        <f>$B$2*$B$3*$F$5</f>
        <v>1.9754846066134545E-7</v>
      </c>
      <c r="I23" s="114"/>
      <c r="J23" s="213" t="s">
        <v>10</v>
      </c>
      <c r="K23" s="40">
        <f>$B$2*$B$3*$F$5</f>
        <v>1.9754846066134545E-7</v>
      </c>
      <c r="L23" s="40">
        <f>$B$2*$B$3*$F$5</f>
        <v>1.9754846066134545E-7</v>
      </c>
      <c r="M23" s="40">
        <f>$B$2*$B$3*$F$5</f>
        <v>1.9754846066134545E-7</v>
      </c>
      <c r="N23" s="40">
        <f>$B$2*$B$3*$F$5</f>
        <v>1.9754846066134545E-7</v>
      </c>
      <c r="O23" s="53">
        <f>$B$2*$B$3*$F$5</f>
        <v>1.9754846066134545E-7</v>
      </c>
      <c r="Q23" s="213" t="s">
        <v>10</v>
      </c>
      <c r="R23" s="40">
        <f>$B$2*$B$3*$F$5</f>
        <v>1.9754846066134545E-7</v>
      </c>
      <c r="S23" s="40">
        <f>$B$2*$B$3*$F$5</f>
        <v>1.9754846066134545E-7</v>
      </c>
      <c r="T23" s="40">
        <f>$B$2*$B$3*$F$5</f>
        <v>1.9754846066134545E-7</v>
      </c>
      <c r="U23" s="40">
        <f>$B$2*$B$3*$F$5</f>
        <v>1.9754846066134545E-7</v>
      </c>
      <c r="V23" s="53">
        <f>$B$2*$B$3*$F$5</f>
        <v>1.9754846066134545E-7</v>
      </c>
    </row>
    <row r="24" spans="3:22" x14ac:dyDescent="0.25">
      <c r="C24" s="214"/>
      <c r="D24" s="7">
        <f>$G$5*H$5*$B$4*(1/365)*$B$7*$B$8*(1/24)*$M$5*D$11</f>
        <v>1.2673819828184652E-11</v>
      </c>
      <c r="E24" s="7">
        <f>$G$5*I$5*$B$4*(1/365)*$B$7*$B$8*(1/24)*$M$5*E$11</f>
        <v>7.5298254804759347E-12</v>
      </c>
      <c r="F24" s="7">
        <f>$G$5*J$5*$B$4*(1/365)*$B$7*$B$8*(1/24)*$M$5*F$11</f>
        <v>1.0313567981084805E-11</v>
      </c>
      <c r="G24" s="7">
        <f>$G$5*K$5*$B$4*(1/365)*$B$7*$B$8*(1/24)*$M$5*G$11</f>
        <v>1.2019910969383929E-11</v>
      </c>
      <c r="H24" s="21">
        <f>$G$5*L$5*$B$4*(1/365)*$B$7*$B$8*(1/24)*$M$5*H$11</f>
        <v>3.8782289757444295E-11</v>
      </c>
      <c r="I24" s="114"/>
      <c r="J24" s="214"/>
      <c r="K24" s="7">
        <f>$G$5*H$5*$B$4*(1/365)*$B$7*$B$8*(1/24)*$M$5*K$11</f>
        <v>2.0108183414549949E-11</v>
      </c>
      <c r="L24" s="7">
        <f>$G$5*I$5*$B$4*(1/365)*$B$7*$B$8*(1/24)*$M$5*L$11</f>
        <v>1.3287927318486945E-11</v>
      </c>
      <c r="M24" s="7">
        <f>$G$5*J$5*$B$4*(1/365)*$B$7*$B$8*(1/24)*$M$5*M$11</f>
        <v>1.8242123366543747E-11</v>
      </c>
      <c r="N24" s="7">
        <f>$G$5*K$5*$B$4*(1/365)*$B$7*$B$8*(1/24)*$M$5*N$11</f>
        <v>1.989260119494533E-11</v>
      </c>
      <c r="O24" s="21">
        <f>$G$5*L$5*$B$4*(1/365)*$B$7*$B$8*(1/24)*$M$5*O$11</f>
        <v>6.9280983644366522E-11</v>
      </c>
      <c r="Q24" s="214"/>
      <c r="R24" s="7">
        <f>$G$5*H$5*$B$4*(1/365)*$B$7*$B$8*(1/24)*$M$5*R$11</f>
        <v>4.1915649934554826E-11</v>
      </c>
      <c r="S24" s="7">
        <f>$G$5*I$5*$B$4*(1/365)*$B$7*$B$8*(1/24)*$M$5*S$11</f>
        <v>2.3229265534540138E-11</v>
      </c>
      <c r="T24" s="7">
        <f>$G$5*J$5*$B$4*(1/365)*$B$7*$B$8*(1/24)*$M$5*T$11</f>
        <v>3.235881954065358E-11</v>
      </c>
      <c r="U24" s="7">
        <f>$G$5*K$5*$B$4*(1/365)*$B$7*$B$8*(1/24)*$M$5*U$11</f>
        <v>3.6411192293221488E-11</v>
      </c>
      <c r="V24" s="7">
        <f>$G$5*L$5*$B$4*(1/365)*$B$7*$B$8*(1/24)*$M$5*V$11</f>
        <v>1.2463046514285499E-10</v>
      </c>
    </row>
    <row r="25" spans="3:22" ht="15.75" thickBot="1" x14ac:dyDescent="0.3">
      <c r="C25" s="215"/>
      <c r="D25" s="117">
        <f>D23/D24</f>
        <v>15587.128690438509</v>
      </c>
      <c r="E25" s="117">
        <f t="shared" ref="E25:H25" si="8">E23/E24</f>
        <v>26235.463381398193</v>
      </c>
      <c r="F25" s="117">
        <f t="shared" si="8"/>
        <v>19154.230720508309</v>
      </c>
      <c r="G25" s="117">
        <f t="shared" si="8"/>
        <v>16435.101821013792</v>
      </c>
      <c r="H25" s="118">
        <f t="shared" si="8"/>
        <v>5093.7802253778955</v>
      </c>
      <c r="I25" s="119"/>
      <c r="J25" s="215"/>
      <c r="K25" s="117">
        <f>K23/K24</f>
        <v>9824.2818154524412</v>
      </c>
      <c r="L25" s="117">
        <f t="shared" ref="L25:O25" si="9">L23/L24</f>
        <v>14866.762582792309</v>
      </c>
      <c r="M25" s="117">
        <f t="shared" si="9"/>
        <v>10829.247050464064</v>
      </c>
      <c r="N25" s="117">
        <f t="shared" si="9"/>
        <v>9930.7505702945527</v>
      </c>
      <c r="O25" s="118">
        <f t="shared" si="9"/>
        <v>2851.409582684365</v>
      </c>
      <c r="Q25" s="215"/>
      <c r="R25" s="117">
        <f>R23/R24</f>
        <v>4713.000060115698</v>
      </c>
      <c r="S25" s="117">
        <f t="shared" ref="S25:V25" si="10">S23/S24</f>
        <v>8504.2921554108561</v>
      </c>
      <c r="T25" s="117">
        <f t="shared" si="10"/>
        <v>6104.9340941859145</v>
      </c>
      <c r="U25" s="117">
        <f t="shared" si="10"/>
        <v>5425.4872806821595</v>
      </c>
      <c r="V25" s="118">
        <f t="shared" si="10"/>
        <v>1585.0736048759009</v>
      </c>
    </row>
    <row r="26" spans="3:22" ht="15.75" thickBot="1" x14ac:dyDescent="0.3">
      <c r="C26" s="125"/>
      <c r="D26" s="126"/>
      <c r="E26" s="127" t="s">
        <v>4</v>
      </c>
      <c r="F26" s="127" t="s">
        <v>5</v>
      </c>
      <c r="G26" s="128" t="s">
        <v>6</v>
      </c>
      <c r="I26" s="129"/>
      <c r="J26" s="125"/>
      <c r="K26" s="126"/>
      <c r="L26" s="130" t="s">
        <v>4</v>
      </c>
      <c r="M26" s="130" t="s">
        <v>5</v>
      </c>
      <c r="N26" s="131" t="s">
        <v>6</v>
      </c>
      <c r="Q26" s="125"/>
      <c r="R26" s="126"/>
      <c r="S26" s="132" t="s">
        <v>4</v>
      </c>
      <c r="T26" s="132" t="s">
        <v>5</v>
      </c>
      <c r="U26" s="77" t="s">
        <v>6</v>
      </c>
    </row>
    <row r="27" spans="3:22" x14ac:dyDescent="0.25">
      <c r="C27" s="182" t="s">
        <v>7</v>
      </c>
      <c r="D27" s="133" t="s">
        <v>55</v>
      </c>
      <c r="E27" s="40">
        <v>59.7</v>
      </c>
      <c r="F27" s="40">
        <v>60</v>
      </c>
      <c r="G27" s="61">
        <f>(E27-F27)/((1/2)*(E27+F27))</f>
        <v>-5.012531328320754E-3</v>
      </c>
      <c r="J27" s="182" t="s">
        <v>7</v>
      </c>
      <c r="K27" s="133" t="s">
        <v>55</v>
      </c>
      <c r="L27" s="40">
        <v>33.299999999999997</v>
      </c>
      <c r="M27" s="40">
        <v>33.299999999999997</v>
      </c>
      <c r="N27" s="61">
        <f>(L27-M27)/((1/2)*(L27+M27))</f>
        <v>0</v>
      </c>
      <c r="Q27" s="182" t="s">
        <v>7</v>
      </c>
      <c r="R27" s="133" t="s">
        <v>55</v>
      </c>
      <c r="S27" s="40">
        <v>20.2</v>
      </c>
      <c r="T27" s="40">
        <v>20.2</v>
      </c>
      <c r="U27" s="61">
        <f>(S27-T27)/((1/2)*(S27+T27))</f>
        <v>0</v>
      </c>
    </row>
    <row r="28" spans="3:22" x14ac:dyDescent="0.25">
      <c r="C28" s="183"/>
      <c r="D28" s="134" t="s">
        <v>56</v>
      </c>
      <c r="E28" s="7">
        <v>137</v>
      </c>
      <c r="F28" s="7">
        <v>137</v>
      </c>
      <c r="G28" s="63">
        <f t="shared" ref="G28:G46" si="11">(E28-F28)/((1/2)*(E28+F28))</f>
        <v>0</v>
      </c>
      <c r="J28" s="183"/>
      <c r="K28" s="134" t="s">
        <v>56</v>
      </c>
      <c r="L28" s="7">
        <v>77.599999999999994</v>
      </c>
      <c r="M28" s="7">
        <v>77.7</v>
      </c>
      <c r="N28" s="63">
        <f t="shared" ref="N28:N36" si="12">(L28-M28)/((1/2)*(L28+M28))</f>
        <v>-1.2878300064392597E-3</v>
      </c>
      <c r="Q28" s="183"/>
      <c r="R28" s="134" t="s">
        <v>56</v>
      </c>
      <c r="S28" s="7">
        <v>43.6</v>
      </c>
      <c r="T28" s="7">
        <v>43.7</v>
      </c>
      <c r="U28" s="63">
        <f t="shared" ref="U28:U36" si="13">(S28-T28)/((1/2)*(S28+T28))</f>
        <v>-2.2909507445590242E-3</v>
      </c>
    </row>
    <row r="29" spans="3:22" x14ac:dyDescent="0.25">
      <c r="C29" s="183"/>
      <c r="D29" s="134" t="s">
        <v>57</v>
      </c>
      <c r="E29" s="7">
        <v>72.900000000000006</v>
      </c>
      <c r="F29" s="7">
        <v>73</v>
      </c>
      <c r="G29" s="63">
        <f t="shared" si="11"/>
        <v>-1.3708019191226088E-3</v>
      </c>
      <c r="J29" s="183"/>
      <c r="K29" s="134" t="s">
        <v>57</v>
      </c>
      <c r="L29" s="7">
        <v>41.5</v>
      </c>
      <c r="M29" s="7">
        <v>41.6</v>
      </c>
      <c r="N29" s="63">
        <f t="shared" si="12"/>
        <v>-2.406738868832766E-3</v>
      </c>
      <c r="Q29" s="183"/>
      <c r="R29" s="134" t="s">
        <v>57</v>
      </c>
      <c r="S29" s="7">
        <v>23.9</v>
      </c>
      <c r="T29" s="7">
        <v>23.9</v>
      </c>
      <c r="U29" s="63">
        <f t="shared" si="13"/>
        <v>0</v>
      </c>
    </row>
    <row r="30" spans="3:22" x14ac:dyDescent="0.25">
      <c r="C30" s="183"/>
      <c r="D30" s="134" t="s">
        <v>58</v>
      </c>
      <c r="E30" s="7">
        <v>66.599999999999994</v>
      </c>
      <c r="F30" s="7">
        <v>66.599999999999994</v>
      </c>
      <c r="G30" s="63">
        <f t="shared" si="11"/>
        <v>0</v>
      </c>
      <c r="J30" s="183"/>
      <c r="K30" s="134" t="s">
        <v>58</v>
      </c>
      <c r="L30" s="7">
        <v>39.299999999999997</v>
      </c>
      <c r="M30" s="7">
        <v>39.4</v>
      </c>
      <c r="N30" s="63">
        <f t="shared" si="12"/>
        <v>-2.541296060991142E-3</v>
      </c>
      <c r="Q30" s="183"/>
      <c r="R30" s="134" t="s">
        <v>58</v>
      </c>
      <c r="S30" s="7">
        <v>22.6</v>
      </c>
      <c r="T30" s="7">
        <v>22.7</v>
      </c>
      <c r="U30" s="63">
        <f t="shared" si="13"/>
        <v>-4.4150110375275001E-3</v>
      </c>
    </row>
    <row r="31" spans="3:22" ht="15.75" thickBot="1" x14ac:dyDescent="0.3">
      <c r="C31" s="184"/>
      <c r="D31" s="135" t="s">
        <v>59</v>
      </c>
      <c r="E31" s="23">
        <v>113</v>
      </c>
      <c r="F31" s="23">
        <v>113</v>
      </c>
      <c r="G31" s="72">
        <f t="shared" si="11"/>
        <v>0</v>
      </c>
      <c r="J31" s="184"/>
      <c r="K31" s="136" t="s">
        <v>59</v>
      </c>
      <c r="L31" s="137">
        <v>63.7</v>
      </c>
      <c r="M31" s="137">
        <v>63.6</v>
      </c>
      <c r="N31" s="138">
        <f t="shared" si="12"/>
        <v>1.5710919088766915E-3</v>
      </c>
      <c r="Q31" s="184"/>
      <c r="R31" s="136" t="s">
        <v>59</v>
      </c>
      <c r="S31" s="137">
        <v>35.299999999999997</v>
      </c>
      <c r="T31" s="137">
        <v>35.299999999999997</v>
      </c>
      <c r="U31" s="138">
        <f t="shared" si="13"/>
        <v>0</v>
      </c>
    </row>
    <row r="32" spans="3:22" x14ac:dyDescent="0.25">
      <c r="C32" s="182" t="s">
        <v>8</v>
      </c>
      <c r="D32" s="145" t="s">
        <v>55</v>
      </c>
      <c r="E32" s="146">
        <v>0.49099999999999999</v>
      </c>
      <c r="F32" s="146">
        <v>0.49199999999999999</v>
      </c>
      <c r="G32" s="147">
        <f t="shared" si="11"/>
        <v>-2.0345879959308257E-3</v>
      </c>
      <c r="J32" s="182" t="s">
        <v>8</v>
      </c>
      <c r="K32" s="145" t="s">
        <v>55</v>
      </c>
      <c r="L32" s="146">
        <v>0.27300000000000002</v>
      </c>
      <c r="M32" s="146">
        <v>0.27300000000000002</v>
      </c>
      <c r="N32" s="147">
        <f t="shared" si="12"/>
        <v>0</v>
      </c>
      <c r="Q32" s="182" t="s">
        <v>8</v>
      </c>
      <c r="R32" s="145" t="s">
        <v>55</v>
      </c>
      <c r="S32" s="146">
        <v>0.14499999999999999</v>
      </c>
      <c r="T32" s="146">
        <v>0.14499999999999999</v>
      </c>
      <c r="U32" s="147">
        <f t="shared" si="13"/>
        <v>0</v>
      </c>
    </row>
    <row r="33" spans="3:21" x14ac:dyDescent="0.25">
      <c r="C33" s="183"/>
      <c r="D33" s="134" t="s">
        <v>56</v>
      </c>
      <c r="E33" s="7">
        <v>6.21</v>
      </c>
      <c r="F33" s="7">
        <v>6.21</v>
      </c>
      <c r="G33" s="63">
        <f t="shared" si="11"/>
        <v>0</v>
      </c>
      <c r="J33" s="183"/>
      <c r="K33" s="134" t="s">
        <v>56</v>
      </c>
      <c r="L33" s="7">
        <v>3.32</v>
      </c>
      <c r="M33" s="7">
        <v>3.32</v>
      </c>
      <c r="N33" s="63">
        <f t="shared" si="12"/>
        <v>0</v>
      </c>
      <c r="Q33" s="183"/>
      <c r="R33" s="134" t="s">
        <v>56</v>
      </c>
      <c r="S33" s="7">
        <v>1.79</v>
      </c>
      <c r="T33" s="7">
        <v>1.79</v>
      </c>
      <c r="U33" s="63">
        <f t="shared" si="13"/>
        <v>0</v>
      </c>
    </row>
    <row r="34" spans="3:21" x14ac:dyDescent="0.25">
      <c r="C34" s="183"/>
      <c r="D34" s="134" t="s">
        <v>57</v>
      </c>
      <c r="E34" s="7">
        <v>1.41</v>
      </c>
      <c r="F34" s="7">
        <v>1.41</v>
      </c>
      <c r="G34" s="63">
        <f t="shared" si="11"/>
        <v>0</v>
      </c>
      <c r="J34" s="183"/>
      <c r="K34" s="134" t="s">
        <v>57</v>
      </c>
      <c r="L34" s="7">
        <v>0.75600000000000001</v>
      </c>
      <c r="M34" s="7">
        <v>0.75700000000000001</v>
      </c>
      <c r="N34" s="63">
        <f t="shared" si="12"/>
        <v>-1.321877065432916E-3</v>
      </c>
      <c r="Q34" s="183"/>
      <c r="R34" s="134" t="s">
        <v>57</v>
      </c>
      <c r="S34" s="7">
        <v>0.41499999999999998</v>
      </c>
      <c r="T34" s="7">
        <v>0.41599999999999998</v>
      </c>
      <c r="U34" s="63">
        <f t="shared" si="13"/>
        <v>-2.4067388688327339E-3</v>
      </c>
    </row>
    <row r="35" spans="3:21" x14ac:dyDescent="0.25">
      <c r="C35" s="183"/>
      <c r="D35" s="134" t="s">
        <v>58</v>
      </c>
      <c r="E35" s="7">
        <v>0.67800000000000005</v>
      </c>
      <c r="F35" s="7">
        <v>0.67700000000000005</v>
      </c>
      <c r="G35" s="63">
        <f t="shared" si="11"/>
        <v>1.4760147601476027E-3</v>
      </c>
      <c r="J35" s="183"/>
      <c r="K35" s="134" t="s">
        <v>58</v>
      </c>
      <c r="L35" s="7">
        <v>0.36199999999999999</v>
      </c>
      <c r="M35" s="7">
        <v>0.36199999999999999</v>
      </c>
      <c r="N35" s="63">
        <f t="shared" si="12"/>
        <v>0</v>
      </c>
      <c r="Q35" s="183"/>
      <c r="R35" s="134" t="s">
        <v>58</v>
      </c>
      <c r="S35" s="7">
        <v>0.2</v>
      </c>
      <c r="T35" s="7">
        <v>0.19900000000000001</v>
      </c>
      <c r="U35" s="63">
        <f t="shared" si="13"/>
        <v>5.0125313283208061E-3</v>
      </c>
    </row>
    <row r="36" spans="3:21" ht="15.75" thickBot="1" x14ac:dyDescent="0.3">
      <c r="C36" s="184"/>
      <c r="D36" s="135" t="s">
        <v>59</v>
      </c>
      <c r="E36" s="23">
        <v>9.65</v>
      </c>
      <c r="F36" s="23">
        <v>9.67</v>
      </c>
      <c r="G36" s="72">
        <f t="shared" si="11"/>
        <v>-2.0703933747411567E-3</v>
      </c>
      <c r="J36" s="184"/>
      <c r="K36" s="135" t="s">
        <v>59</v>
      </c>
      <c r="L36" s="23">
        <v>5.24</v>
      </c>
      <c r="M36" s="23">
        <v>5.25</v>
      </c>
      <c r="N36" s="72">
        <f t="shared" si="12"/>
        <v>-1.9065776930409508E-3</v>
      </c>
      <c r="Q36" s="184"/>
      <c r="R36" s="135" t="s">
        <v>59</v>
      </c>
      <c r="S36" s="23">
        <v>2.77</v>
      </c>
      <c r="T36" s="23">
        <v>2.78</v>
      </c>
      <c r="U36" s="72">
        <f t="shared" si="13"/>
        <v>-3.6036036036035269E-3</v>
      </c>
    </row>
    <row r="37" spans="3:21" x14ac:dyDescent="0.25">
      <c r="C37" s="182" t="s">
        <v>9</v>
      </c>
      <c r="D37" s="133" t="s">
        <v>55</v>
      </c>
      <c r="E37" s="139"/>
      <c r="F37" s="139"/>
      <c r="G37" s="140"/>
      <c r="J37" s="182" t="s">
        <v>9</v>
      </c>
      <c r="K37" s="133" t="s">
        <v>55</v>
      </c>
      <c r="L37" s="139"/>
      <c r="M37" s="139"/>
      <c r="N37" s="140"/>
      <c r="Q37" s="182" t="s">
        <v>9</v>
      </c>
      <c r="R37" s="133" t="s">
        <v>55</v>
      </c>
      <c r="S37" s="139"/>
      <c r="T37" s="139"/>
      <c r="U37" s="140"/>
    </row>
    <row r="38" spans="3:21" x14ac:dyDescent="0.25">
      <c r="C38" s="183"/>
      <c r="D38" s="134" t="s">
        <v>56</v>
      </c>
      <c r="E38" s="141"/>
      <c r="F38" s="141"/>
      <c r="G38" s="142"/>
      <c r="J38" s="183"/>
      <c r="K38" s="134" t="s">
        <v>56</v>
      </c>
      <c r="L38" s="141"/>
      <c r="M38" s="141"/>
      <c r="N38" s="142"/>
      <c r="Q38" s="183"/>
      <c r="R38" s="134" t="s">
        <v>56</v>
      </c>
      <c r="S38" s="141"/>
      <c r="T38" s="141"/>
      <c r="U38" s="142"/>
    </row>
    <row r="39" spans="3:21" x14ac:dyDescent="0.25">
      <c r="C39" s="183"/>
      <c r="D39" s="134" t="s">
        <v>57</v>
      </c>
      <c r="E39" s="141"/>
      <c r="F39" s="141"/>
      <c r="G39" s="142"/>
      <c r="J39" s="183"/>
      <c r="K39" s="134" t="s">
        <v>57</v>
      </c>
      <c r="L39" s="141"/>
      <c r="M39" s="141"/>
      <c r="N39" s="142"/>
      <c r="Q39" s="183"/>
      <c r="R39" s="134" t="s">
        <v>57</v>
      </c>
      <c r="S39" s="141"/>
      <c r="T39" s="141"/>
      <c r="U39" s="142"/>
    </row>
    <row r="40" spans="3:21" x14ac:dyDescent="0.25">
      <c r="C40" s="183"/>
      <c r="D40" s="134" t="s">
        <v>58</v>
      </c>
      <c r="E40" s="141"/>
      <c r="F40" s="141"/>
      <c r="G40" s="142"/>
      <c r="J40" s="183"/>
      <c r="K40" s="134" t="s">
        <v>58</v>
      </c>
      <c r="L40" s="141"/>
      <c r="M40" s="141"/>
      <c r="N40" s="142"/>
      <c r="Q40" s="183"/>
      <c r="R40" s="134" t="s">
        <v>58</v>
      </c>
      <c r="S40" s="141"/>
      <c r="T40" s="141"/>
      <c r="U40" s="142"/>
    </row>
    <row r="41" spans="3:21" ht="15.75" thickBot="1" x14ac:dyDescent="0.3">
      <c r="C41" s="184"/>
      <c r="D41" s="135" t="s">
        <v>59</v>
      </c>
      <c r="E41" s="143"/>
      <c r="F41" s="143"/>
      <c r="G41" s="144"/>
      <c r="J41" s="184"/>
      <c r="K41" s="135" t="s">
        <v>59</v>
      </c>
      <c r="L41" s="143"/>
      <c r="M41" s="143"/>
      <c r="N41" s="144"/>
      <c r="Q41" s="184"/>
      <c r="R41" s="135" t="s">
        <v>59</v>
      </c>
      <c r="S41" s="143"/>
      <c r="T41" s="143"/>
      <c r="U41" s="144"/>
    </row>
    <row r="42" spans="3:21" x14ac:dyDescent="0.25">
      <c r="C42" s="182" t="s">
        <v>10</v>
      </c>
      <c r="D42" s="133" t="s">
        <v>55</v>
      </c>
      <c r="E42" s="40">
        <v>15600</v>
      </c>
      <c r="F42" s="40">
        <v>15600</v>
      </c>
      <c r="G42" s="61">
        <f t="shared" si="11"/>
        <v>0</v>
      </c>
      <c r="J42" s="182" t="s">
        <v>10</v>
      </c>
      <c r="K42" s="133" t="s">
        <v>55</v>
      </c>
      <c r="L42" s="40">
        <v>9820</v>
      </c>
      <c r="M42" s="40">
        <v>9830</v>
      </c>
      <c r="N42" s="61">
        <f t="shared" ref="N42:N46" si="14">(L42-M42)/((1/2)*(L42+M42))</f>
        <v>-1.0178117048346056E-3</v>
      </c>
      <c r="Q42" s="182" t="s">
        <v>10</v>
      </c>
      <c r="R42" s="133" t="s">
        <v>55</v>
      </c>
      <c r="S42" s="40">
        <v>4710</v>
      </c>
      <c r="T42" s="40">
        <v>4720</v>
      </c>
      <c r="U42" s="61">
        <f t="shared" ref="U42:U46" si="15">(S42-T42)/((1/2)*(S42+T42))</f>
        <v>-2.1208907741251328E-3</v>
      </c>
    </row>
    <row r="43" spans="3:21" x14ac:dyDescent="0.25">
      <c r="C43" s="183"/>
      <c r="D43" s="134" t="s">
        <v>56</v>
      </c>
      <c r="E43" s="7">
        <v>26200</v>
      </c>
      <c r="F43" s="7">
        <v>26200</v>
      </c>
      <c r="G43" s="63">
        <f t="shared" si="11"/>
        <v>0</v>
      </c>
      <c r="J43" s="183"/>
      <c r="K43" s="134" t="s">
        <v>56</v>
      </c>
      <c r="L43" s="7">
        <v>14900</v>
      </c>
      <c r="M43" s="7">
        <v>14900</v>
      </c>
      <c r="N43" s="63">
        <f t="shared" si="14"/>
        <v>0</v>
      </c>
      <c r="Q43" s="183"/>
      <c r="R43" s="134" t="s">
        <v>56</v>
      </c>
      <c r="S43" s="7">
        <v>8500</v>
      </c>
      <c r="T43" s="7">
        <v>8520</v>
      </c>
      <c r="U43" s="63">
        <f t="shared" si="15"/>
        <v>-2.3501762632197414E-3</v>
      </c>
    </row>
    <row r="44" spans="3:21" x14ac:dyDescent="0.25">
      <c r="C44" s="183"/>
      <c r="D44" s="134" t="s">
        <v>57</v>
      </c>
      <c r="E44" s="7">
        <v>19200</v>
      </c>
      <c r="F44" s="7">
        <v>19200</v>
      </c>
      <c r="G44" s="63">
        <f t="shared" si="11"/>
        <v>0</v>
      </c>
      <c r="J44" s="183"/>
      <c r="K44" s="134" t="s">
        <v>57</v>
      </c>
      <c r="L44" s="7">
        <v>10800</v>
      </c>
      <c r="M44" s="7">
        <v>10800</v>
      </c>
      <c r="N44" s="63">
        <f t="shared" si="14"/>
        <v>0</v>
      </c>
      <c r="Q44" s="183"/>
      <c r="R44" s="134" t="s">
        <v>57</v>
      </c>
      <c r="S44" s="7">
        <v>6100</v>
      </c>
      <c r="T44" s="7">
        <v>6100</v>
      </c>
      <c r="U44" s="63">
        <f t="shared" si="15"/>
        <v>0</v>
      </c>
    </row>
    <row r="45" spans="3:21" x14ac:dyDescent="0.25">
      <c r="C45" s="183"/>
      <c r="D45" s="134" t="s">
        <v>58</v>
      </c>
      <c r="E45" s="7">
        <v>16400</v>
      </c>
      <c r="F45" s="7">
        <v>16500</v>
      </c>
      <c r="G45" s="63">
        <f t="shared" si="11"/>
        <v>-6.0790273556231003E-3</v>
      </c>
      <c r="J45" s="183"/>
      <c r="K45" s="134" t="s">
        <v>58</v>
      </c>
      <c r="L45" s="7">
        <v>9930</v>
      </c>
      <c r="M45" s="7">
        <v>9940</v>
      </c>
      <c r="N45" s="63">
        <f t="shared" si="14"/>
        <v>-1.0065425264217413E-3</v>
      </c>
      <c r="Q45" s="183"/>
      <c r="R45" s="134" t="s">
        <v>58</v>
      </c>
      <c r="S45" s="7">
        <v>5430</v>
      </c>
      <c r="T45" s="7">
        <v>5430</v>
      </c>
      <c r="U45" s="63">
        <f t="shared" si="15"/>
        <v>0</v>
      </c>
    </row>
    <row r="46" spans="3:21" ht="15.75" thickBot="1" x14ac:dyDescent="0.3">
      <c r="C46" s="184"/>
      <c r="D46" s="135" t="s">
        <v>59</v>
      </c>
      <c r="E46" s="23">
        <v>5090</v>
      </c>
      <c r="F46" s="23">
        <v>5090</v>
      </c>
      <c r="G46" s="72">
        <f t="shared" si="11"/>
        <v>0</v>
      </c>
      <c r="J46" s="184"/>
      <c r="K46" s="135" t="s">
        <v>59</v>
      </c>
      <c r="L46" s="23">
        <v>2850</v>
      </c>
      <c r="M46" s="23">
        <v>2850</v>
      </c>
      <c r="N46" s="72">
        <f t="shared" si="14"/>
        <v>0</v>
      </c>
      <c r="Q46" s="184"/>
      <c r="R46" s="135" t="s">
        <v>59</v>
      </c>
      <c r="S46" s="23">
        <v>1590</v>
      </c>
      <c r="T46" s="23">
        <v>1590</v>
      </c>
      <c r="U46" s="72">
        <f t="shared" si="15"/>
        <v>0</v>
      </c>
    </row>
  </sheetData>
  <mergeCells count="27">
    <mergeCell ref="C42:C46"/>
    <mergeCell ref="J42:J46"/>
    <mergeCell ref="Q42:Q46"/>
    <mergeCell ref="C32:C36"/>
    <mergeCell ref="J32:J36"/>
    <mergeCell ref="Q32:Q36"/>
    <mergeCell ref="C37:C41"/>
    <mergeCell ref="J37:J41"/>
    <mergeCell ref="Q37:Q41"/>
    <mergeCell ref="C23:C25"/>
    <mergeCell ref="J23:J25"/>
    <mergeCell ref="Q23:Q25"/>
    <mergeCell ref="C27:C31"/>
    <mergeCell ref="J27:J31"/>
    <mergeCell ref="Q27:Q31"/>
    <mergeCell ref="C17:C19"/>
    <mergeCell ref="J17:J19"/>
    <mergeCell ref="Q17:Q19"/>
    <mergeCell ref="C20:C22"/>
    <mergeCell ref="J20:J22"/>
    <mergeCell ref="Q20:Q22"/>
    <mergeCell ref="D12:H12"/>
    <mergeCell ref="K12:O12"/>
    <mergeCell ref="R12:V12"/>
    <mergeCell ref="C14:C16"/>
    <mergeCell ref="J14:J16"/>
    <mergeCell ref="Q14:Q16"/>
  </mergeCells>
  <conditionalFormatting sqref="G27:G46">
    <cfRule type="cellIs" dxfId="5" priority="5" operator="lessThan">
      <formula>-0.01</formula>
    </cfRule>
    <cfRule type="cellIs" dxfId="4" priority="6" operator="notEqual">
      <formula>0</formula>
    </cfRule>
  </conditionalFormatting>
  <conditionalFormatting sqref="N27:N46">
    <cfRule type="cellIs" dxfId="3" priority="3" operator="lessThan">
      <formula>-0.01</formula>
    </cfRule>
    <cfRule type="cellIs" dxfId="2" priority="4" operator="notEqual">
      <formula>0</formula>
    </cfRule>
  </conditionalFormatting>
  <conditionalFormatting sqref="U27:U46">
    <cfRule type="cellIs" dxfId="1" priority="1" operator="lessThan">
      <formula>-0.01</formula>
    </cfRule>
    <cfRule type="cellIs" dxfId="0" priority="2" operator="not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W2" sqref="W2"/>
    </sheetView>
  </sheetViews>
  <sheetFormatPr defaultRowHeight="15" x14ac:dyDescent="0.25"/>
  <cols>
    <col min="2" max="2" width="9" customWidth="1"/>
    <col min="3" max="3" width="8.28515625" customWidth="1"/>
    <col min="4" max="4" width="10.28515625" bestFit="1" customWidth="1"/>
    <col min="6" max="6" width="10.28515625" bestFit="1" customWidth="1"/>
    <col min="15" max="15" width="9" customWidth="1"/>
    <col min="16" max="16" width="8.5703125" bestFit="1" customWidth="1"/>
    <col min="17" max="17" width="8.7109375" customWidth="1"/>
    <col min="18" max="18" width="8.28515625" customWidth="1"/>
  </cols>
  <sheetData>
    <row r="1" spans="1:29" x14ac:dyDescent="0.25">
      <c r="A1" s="216" t="s">
        <v>62</v>
      </c>
      <c r="B1" s="217"/>
      <c r="C1" s="217"/>
      <c r="D1" s="217"/>
      <c r="E1" s="217"/>
      <c r="F1" s="217"/>
      <c r="G1" s="217"/>
      <c r="H1" s="217"/>
      <c r="I1" s="218"/>
    </row>
    <row r="2" spans="1:29" x14ac:dyDescent="0.25">
      <c r="A2" s="149"/>
      <c r="B2" s="150" t="s">
        <v>63</v>
      </c>
      <c r="C2" s="150" t="s">
        <v>64</v>
      </c>
      <c r="D2" s="150" t="s">
        <v>65</v>
      </c>
      <c r="E2" s="150" t="s">
        <v>66</v>
      </c>
      <c r="F2" s="150" t="s">
        <v>67</v>
      </c>
      <c r="G2" s="150" t="s">
        <v>68</v>
      </c>
      <c r="H2" s="150" t="s">
        <v>69</v>
      </c>
      <c r="I2" s="151" t="s">
        <v>40</v>
      </c>
    </row>
    <row r="3" spans="1:29" x14ac:dyDescent="0.25">
      <c r="A3" s="152" t="s">
        <v>7</v>
      </c>
      <c r="B3" s="153" t="s">
        <v>70</v>
      </c>
      <c r="C3" s="154">
        <v>1.8699999999999999E-8</v>
      </c>
      <c r="D3" s="154">
        <v>2.77E-8</v>
      </c>
      <c r="E3" s="154">
        <v>1.3799999999999999E-8</v>
      </c>
      <c r="F3" s="154">
        <v>2.5799999999999999E-8</v>
      </c>
      <c r="G3" s="154">
        <v>2.77E-8</v>
      </c>
      <c r="H3" s="154">
        <v>1.3199999999999999E-13</v>
      </c>
      <c r="I3" s="155">
        <f>0.0000581/(10^6)</f>
        <v>5.8100000000000005E-11</v>
      </c>
    </row>
    <row r="4" spans="1:29" ht="15.75" thickBot="1" x14ac:dyDescent="0.3">
      <c r="A4" s="152" t="s">
        <v>8</v>
      </c>
      <c r="B4" s="153" t="s">
        <v>70</v>
      </c>
      <c r="C4" s="154">
        <v>2.1900000000000002E-6</v>
      </c>
      <c r="D4" s="154">
        <v>1.24E-5</v>
      </c>
      <c r="E4" s="154">
        <v>2.26E-6</v>
      </c>
      <c r="F4" s="154">
        <v>6.4899999999999997E-6</v>
      </c>
      <c r="G4" s="154">
        <v>1.04E-5</v>
      </c>
      <c r="H4" s="154">
        <v>2.4400000000000001E-11</v>
      </c>
      <c r="I4" s="155">
        <f>0.0113/(10^6)</f>
        <v>1.1299999999999999E-8</v>
      </c>
    </row>
    <row r="5" spans="1:29" x14ac:dyDescent="0.25">
      <c r="A5" s="152" t="s">
        <v>9</v>
      </c>
      <c r="B5" s="153" t="s">
        <v>25</v>
      </c>
      <c r="C5" s="154">
        <v>0</v>
      </c>
      <c r="D5" s="154">
        <v>0</v>
      </c>
      <c r="E5" s="154">
        <v>0</v>
      </c>
      <c r="F5" s="154">
        <v>0</v>
      </c>
      <c r="G5" s="154">
        <v>0</v>
      </c>
      <c r="H5" s="154">
        <v>0</v>
      </c>
      <c r="I5" s="155">
        <v>0</v>
      </c>
      <c r="L5" s="219" t="s">
        <v>71</v>
      </c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1"/>
    </row>
    <row r="6" spans="1:29" x14ac:dyDescent="0.25">
      <c r="A6" s="152" t="s">
        <v>9</v>
      </c>
      <c r="B6" s="153" t="s">
        <v>70</v>
      </c>
      <c r="C6" s="154">
        <v>0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55">
        <v>0</v>
      </c>
      <c r="L6" s="156"/>
      <c r="M6" s="157" t="s">
        <v>72</v>
      </c>
      <c r="N6" s="157" t="s">
        <v>73</v>
      </c>
      <c r="O6" s="157" t="s">
        <v>74</v>
      </c>
      <c r="P6" s="157" t="s">
        <v>75</v>
      </c>
      <c r="Q6" s="157" t="s">
        <v>76</v>
      </c>
      <c r="R6" s="157" t="s">
        <v>77</v>
      </c>
      <c r="S6" s="157" t="s">
        <v>78</v>
      </c>
      <c r="T6" s="157" t="s">
        <v>79</v>
      </c>
      <c r="U6" s="157" t="s">
        <v>80</v>
      </c>
      <c r="V6" s="157" t="s">
        <v>81</v>
      </c>
      <c r="W6" s="157" t="s">
        <v>82</v>
      </c>
      <c r="X6" s="157" t="s">
        <v>83</v>
      </c>
      <c r="Y6" s="157" t="s">
        <v>84</v>
      </c>
      <c r="Z6" s="157" t="s">
        <v>85</v>
      </c>
      <c r="AA6" s="157" t="s">
        <v>86</v>
      </c>
      <c r="AB6" s="157" t="s">
        <v>87</v>
      </c>
      <c r="AC6" s="158" t="s">
        <v>88</v>
      </c>
    </row>
    <row r="7" spans="1:29" ht="15.75" thickBot="1" x14ac:dyDescent="0.3">
      <c r="A7" s="159" t="s">
        <v>10</v>
      </c>
      <c r="B7" s="160" t="s">
        <v>70</v>
      </c>
      <c r="C7" s="161">
        <v>3.6800000000000002E-10</v>
      </c>
      <c r="D7" s="161">
        <v>6.9200000000000004E-11</v>
      </c>
      <c r="E7" s="161">
        <v>4.8100000000000001E-11</v>
      </c>
      <c r="F7" s="161">
        <v>6.3000000000000002E-11</v>
      </c>
      <c r="G7" s="161">
        <v>6.8700000000000006E-11</v>
      </c>
      <c r="H7" s="161">
        <v>5.9600000000000002E-16</v>
      </c>
      <c r="I7" s="162">
        <f>0.000000256/(10^6)</f>
        <v>2.5600000000000002E-13</v>
      </c>
      <c r="L7" s="152" t="s">
        <v>7</v>
      </c>
      <c r="M7" s="154">
        <v>8.4000000000000005E-2</v>
      </c>
      <c r="N7" s="154">
        <v>0.15</v>
      </c>
      <c r="O7" s="154">
        <v>0.27</v>
      </c>
      <c r="P7" s="154">
        <v>0.39</v>
      </c>
      <c r="Q7" s="154">
        <v>0.51</v>
      </c>
      <c r="R7" s="154">
        <v>0.65</v>
      </c>
      <c r="S7" s="154">
        <v>0.74</v>
      </c>
      <c r="T7" s="154">
        <v>0.81</v>
      </c>
      <c r="U7" s="154">
        <v>0.87</v>
      </c>
      <c r="V7" s="154">
        <v>0.91</v>
      </c>
      <c r="W7" s="154">
        <v>0.93</v>
      </c>
      <c r="X7" s="154">
        <v>0.95</v>
      </c>
      <c r="Y7" s="154">
        <v>0.98</v>
      </c>
      <c r="Z7" s="154">
        <v>0.99</v>
      </c>
      <c r="AA7" s="154">
        <v>0.99</v>
      </c>
      <c r="AB7" s="154">
        <v>1</v>
      </c>
      <c r="AC7" s="155">
        <v>1</v>
      </c>
    </row>
    <row r="8" spans="1:29" ht="15.75" thickBot="1" x14ac:dyDescent="0.3">
      <c r="L8" s="152" t="s">
        <v>8</v>
      </c>
      <c r="M8" s="154">
        <v>2.8000000000000001E-2</v>
      </c>
      <c r="N8" s="154">
        <v>5.1999999999999998E-2</v>
      </c>
      <c r="O8" s="154">
        <v>9.8000000000000004E-2</v>
      </c>
      <c r="P8" s="154">
        <v>0.15</v>
      </c>
      <c r="Q8" s="154">
        <v>0.21</v>
      </c>
      <c r="R8" s="154">
        <v>0.28999999999999998</v>
      </c>
      <c r="S8" s="154">
        <v>0.37</v>
      </c>
      <c r="T8" s="154">
        <v>0.44</v>
      </c>
      <c r="U8" s="154">
        <v>0.54</v>
      </c>
      <c r="V8" s="154">
        <v>0.59</v>
      </c>
      <c r="W8" s="154">
        <v>0.66</v>
      </c>
      <c r="X8" s="154">
        <v>0.74</v>
      </c>
      <c r="Y8" s="154">
        <v>0.81</v>
      </c>
      <c r="Z8" s="154">
        <v>0.87</v>
      </c>
      <c r="AA8" s="154">
        <v>0.91</v>
      </c>
      <c r="AB8" s="154">
        <v>0.97</v>
      </c>
      <c r="AC8" s="155">
        <v>1</v>
      </c>
    </row>
    <row r="9" spans="1:29" x14ac:dyDescent="0.25">
      <c r="A9" s="222" t="s">
        <v>0</v>
      </c>
      <c r="B9" s="223"/>
      <c r="C9" s="223"/>
      <c r="D9" s="223"/>
      <c r="E9" s="223"/>
      <c r="F9" s="224"/>
      <c r="L9" s="152" t="s">
        <v>9</v>
      </c>
      <c r="M9" s="154">
        <v>1</v>
      </c>
      <c r="N9" s="154">
        <v>1</v>
      </c>
      <c r="O9" s="154">
        <v>1</v>
      </c>
      <c r="P9" s="154">
        <v>1</v>
      </c>
      <c r="Q9" s="154">
        <v>1</v>
      </c>
      <c r="R9" s="154">
        <v>1</v>
      </c>
      <c r="S9" s="154">
        <v>1</v>
      </c>
      <c r="T9" s="154">
        <v>1</v>
      </c>
      <c r="U9" s="154">
        <v>1</v>
      </c>
      <c r="V9" s="154">
        <v>1</v>
      </c>
      <c r="W9" s="154">
        <v>1</v>
      </c>
      <c r="X9" s="154">
        <v>1</v>
      </c>
      <c r="Y9" s="154">
        <v>1</v>
      </c>
      <c r="Z9" s="154">
        <v>1</v>
      </c>
      <c r="AA9" s="154">
        <v>1</v>
      </c>
      <c r="AB9" s="154">
        <v>1</v>
      </c>
      <c r="AC9" s="155">
        <v>1</v>
      </c>
    </row>
    <row r="10" spans="1:29" ht="15.75" thickBot="1" x14ac:dyDescent="0.3">
      <c r="A10" s="163"/>
      <c r="B10" s="164" t="s">
        <v>63</v>
      </c>
      <c r="C10" s="164" t="s">
        <v>89</v>
      </c>
      <c r="D10" s="164" t="s">
        <v>90</v>
      </c>
      <c r="E10" s="164" t="s">
        <v>35</v>
      </c>
      <c r="F10" s="165" t="s">
        <v>91</v>
      </c>
      <c r="L10" s="159" t="s">
        <v>10</v>
      </c>
      <c r="M10" s="161">
        <v>0.1</v>
      </c>
      <c r="N10" s="161">
        <v>0.18</v>
      </c>
      <c r="O10" s="161">
        <v>0.33</v>
      </c>
      <c r="P10" s="161">
        <v>0.47</v>
      </c>
      <c r="Q10" s="161">
        <v>0.61</v>
      </c>
      <c r="R10" s="161">
        <v>0.78</v>
      </c>
      <c r="S10" s="161">
        <v>0.87</v>
      </c>
      <c r="T10" s="161">
        <v>0.94</v>
      </c>
      <c r="U10" s="161">
        <v>0.99</v>
      </c>
      <c r="V10" s="161">
        <v>1</v>
      </c>
      <c r="W10" s="161">
        <v>1</v>
      </c>
      <c r="X10" s="161">
        <v>1</v>
      </c>
      <c r="Y10" s="161">
        <v>1</v>
      </c>
      <c r="Z10" s="161">
        <v>1</v>
      </c>
      <c r="AA10" s="161">
        <v>1</v>
      </c>
      <c r="AB10" s="161">
        <v>1</v>
      </c>
      <c r="AC10" s="162">
        <v>1</v>
      </c>
    </row>
    <row r="11" spans="1:29" ht="15.75" thickBot="1" x14ac:dyDescent="0.3">
      <c r="A11" s="152" t="s">
        <v>7</v>
      </c>
      <c r="B11" s="153" t="s">
        <v>70</v>
      </c>
      <c r="C11" s="154">
        <v>1.04E-10</v>
      </c>
      <c r="D11" s="154">
        <v>1.34E-10</v>
      </c>
      <c r="E11" s="154">
        <v>1.8400000000000001E-10</v>
      </c>
      <c r="F11" s="155">
        <v>9.0999999999999996E-11</v>
      </c>
    </row>
    <row r="12" spans="1:29" x14ac:dyDescent="0.25">
      <c r="A12" s="152" t="s">
        <v>8</v>
      </c>
      <c r="B12" s="153" t="s">
        <v>70</v>
      </c>
      <c r="C12" s="154">
        <v>1.58E-11</v>
      </c>
      <c r="D12" s="154">
        <v>2.23E-11</v>
      </c>
      <c r="E12" s="154">
        <v>3.8100000000000003E-11</v>
      </c>
      <c r="F12" s="155">
        <v>7.3300000000000005E-12</v>
      </c>
      <c r="L12" s="225" t="s">
        <v>97</v>
      </c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7"/>
    </row>
    <row r="13" spans="1:29" x14ac:dyDescent="0.25">
      <c r="A13" s="152" t="s">
        <v>9</v>
      </c>
      <c r="B13" s="153" t="s">
        <v>25</v>
      </c>
      <c r="C13" s="154">
        <v>5.0700000000000001E-14</v>
      </c>
      <c r="D13" s="154">
        <v>6.5099999999999995E-14</v>
      </c>
      <c r="E13" s="154">
        <v>8.9900000000000001E-14</v>
      </c>
      <c r="F13" s="155">
        <v>4.5099999999999998E-14</v>
      </c>
      <c r="L13" s="166"/>
      <c r="M13" s="167" t="s">
        <v>72</v>
      </c>
      <c r="N13" s="167" t="s">
        <v>73</v>
      </c>
      <c r="O13" s="167" t="s">
        <v>74</v>
      </c>
      <c r="P13" s="167" t="s">
        <v>75</v>
      </c>
      <c r="Q13" s="167" t="s">
        <v>76</v>
      </c>
      <c r="R13" s="167" t="s">
        <v>77</v>
      </c>
      <c r="S13" s="167" t="s">
        <v>78</v>
      </c>
      <c r="T13" s="167" t="s">
        <v>79</v>
      </c>
      <c r="U13" s="167" t="s">
        <v>80</v>
      </c>
      <c r="V13" s="167" t="s">
        <v>81</v>
      </c>
      <c r="W13" s="167" t="s">
        <v>82</v>
      </c>
      <c r="X13" s="167" t="s">
        <v>83</v>
      </c>
      <c r="Y13" s="167" t="s">
        <v>84</v>
      </c>
      <c r="Z13" s="167" t="s">
        <v>85</v>
      </c>
      <c r="AA13" s="167" t="s">
        <v>86</v>
      </c>
      <c r="AB13" s="167" t="s">
        <v>87</v>
      </c>
      <c r="AC13" s="168" t="s">
        <v>88</v>
      </c>
    </row>
    <row r="14" spans="1:29" x14ac:dyDescent="0.25">
      <c r="A14" s="152" t="s">
        <v>9</v>
      </c>
      <c r="B14" s="153" t="s">
        <v>70</v>
      </c>
      <c r="C14" s="154">
        <v>1.12E-13</v>
      </c>
      <c r="D14" s="154">
        <v>1.4399999999999999E-13</v>
      </c>
      <c r="E14" s="154">
        <v>0</v>
      </c>
      <c r="F14" s="155">
        <v>0</v>
      </c>
      <c r="L14" s="152" t="s">
        <v>7</v>
      </c>
      <c r="M14" s="154">
        <v>0.1</v>
      </c>
      <c r="N14" s="154">
        <v>0.19</v>
      </c>
      <c r="O14" s="154">
        <v>0.32</v>
      </c>
      <c r="P14" s="154">
        <v>0.48</v>
      </c>
      <c r="Q14" s="154">
        <v>0.55000000000000004</v>
      </c>
      <c r="R14" s="154">
        <v>0.66</v>
      </c>
      <c r="S14" s="154">
        <v>0.69</v>
      </c>
      <c r="T14" s="154">
        <v>0.75</v>
      </c>
      <c r="U14" s="154">
        <v>0.74</v>
      </c>
      <c r="V14" s="154">
        <v>0.82</v>
      </c>
      <c r="W14" s="154">
        <v>0.87</v>
      </c>
      <c r="X14" s="154">
        <v>0.91</v>
      </c>
      <c r="Y14" s="154">
        <v>1.1000000000000001</v>
      </c>
      <c r="Z14" s="154">
        <v>0.95</v>
      </c>
      <c r="AA14" s="154">
        <v>0.99</v>
      </c>
      <c r="AB14" s="154">
        <v>1</v>
      </c>
      <c r="AC14" s="155">
        <v>1</v>
      </c>
    </row>
    <row r="15" spans="1:29" ht="15.75" thickBot="1" x14ac:dyDescent="0.3">
      <c r="A15" s="159" t="s">
        <v>10</v>
      </c>
      <c r="B15" s="160" t="s">
        <v>70</v>
      </c>
      <c r="C15" s="161">
        <v>1.3100000000000001E-10</v>
      </c>
      <c r="D15" s="161">
        <v>1.6900000000000001E-10</v>
      </c>
      <c r="E15" s="161">
        <v>2.25E-10</v>
      </c>
      <c r="F15" s="162">
        <v>1.1700000000000001E-10</v>
      </c>
      <c r="L15" s="152" t="s">
        <v>8</v>
      </c>
      <c r="M15" s="154">
        <v>9.8000000000000004E-2</v>
      </c>
      <c r="N15" s="154">
        <v>0.18</v>
      </c>
      <c r="O15" s="154">
        <v>0.33</v>
      </c>
      <c r="P15" s="154">
        <v>0.49</v>
      </c>
      <c r="Q15" s="154">
        <v>0.59</v>
      </c>
      <c r="R15" s="154">
        <v>0.7</v>
      </c>
      <c r="S15" s="154">
        <v>0.74</v>
      </c>
      <c r="T15" s="154">
        <v>0.76</v>
      </c>
      <c r="U15" s="154">
        <v>0.71</v>
      </c>
      <c r="V15" s="154">
        <v>0.93</v>
      </c>
      <c r="W15" s="154">
        <v>0.85</v>
      </c>
      <c r="X15" s="154">
        <v>0.88</v>
      </c>
      <c r="Y15" s="154">
        <v>0.92</v>
      </c>
      <c r="Z15" s="154">
        <v>0.94</v>
      </c>
      <c r="AA15" s="154">
        <v>1</v>
      </c>
      <c r="AB15" s="154">
        <v>0.95</v>
      </c>
      <c r="AC15" s="155">
        <v>1</v>
      </c>
    </row>
    <row r="16" spans="1:29" ht="15.75" thickBot="1" x14ac:dyDescent="0.3">
      <c r="L16" s="152" t="s">
        <v>9</v>
      </c>
      <c r="M16" s="154">
        <v>1</v>
      </c>
      <c r="N16" s="154">
        <v>1</v>
      </c>
      <c r="O16" s="154">
        <v>1</v>
      </c>
      <c r="P16" s="154">
        <v>1</v>
      </c>
      <c r="Q16" s="154">
        <v>1</v>
      </c>
      <c r="R16" s="154">
        <v>1</v>
      </c>
      <c r="S16" s="154">
        <v>1</v>
      </c>
      <c r="T16" s="154">
        <v>1</v>
      </c>
      <c r="U16" s="154">
        <v>1</v>
      </c>
      <c r="V16" s="154">
        <v>1</v>
      </c>
      <c r="W16" s="154">
        <v>1</v>
      </c>
      <c r="X16" s="154">
        <v>1</v>
      </c>
      <c r="Y16" s="154">
        <v>1</v>
      </c>
      <c r="Z16" s="154">
        <v>1</v>
      </c>
      <c r="AA16" s="154">
        <v>1</v>
      </c>
      <c r="AB16" s="154">
        <v>1</v>
      </c>
      <c r="AC16" s="155">
        <v>1</v>
      </c>
    </row>
    <row r="17" spans="1:29" ht="15.75" thickBot="1" x14ac:dyDescent="0.3">
      <c r="A17" s="228" t="s">
        <v>1</v>
      </c>
      <c r="B17" s="229"/>
      <c r="C17" s="230"/>
      <c r="L17" s="159" t="s">
        <v>10</v>
      </c>
      <c r="M17" s="161">
        <v>0.18</v>
      </c>
      <c r="N17" s="161">
        <v>0.28000000000000003</v>
      </c>
      <c r="O17" s="161">
        <v>0.59</v>
      </c>
      <c r="P17" s="161">
        <v>0.82</v>
      </c>
      <c r="Q17" s="161">
        <v>0.86</v>
      </c>
      <c r="R17" s="161">
        <v>0.98</v>
      </c>
      <c r="S17" s="161">
        <v>1</v>
      </c>
      <c r="T17" s="161">
        <v>0.94</v>
      </c>
      <c r="U17" s="161">
        <v>0.97</v>
      </c>
      <c r="V17" s="161">
        <v>1</v>
      </c>
      <c r="W17" s="161">
        <v>1</v>
      </c>
      <c r="X17" s="161">
        <v>1</v>
      </c>
      <c r="Y17" s="161">
        <v>1.1000000000000001</v>
      </c>
      <c r="Z17" s="161">
        <v>1.1000000000000001</v>
      </c>
      <c r="AA17" s="161">
        <v>0.99</v>
      </c>
      <c r="AB17" s="161">
        <v>1</v>
      </c>
      <c r="AC17" s="162">
        <v>1</v>
      </c>
    </row>
    <row r="18" spans="1:29" x14ac:dyDescent="0.25">
      <c r="A18" s="169"/>
      <c r="B18" s="170" t="s">
        <v>92</v>
      </c>
      <c r="C18" s="171" t="s">
        <v>36</v>
      </c>
    </row>
    <row r="19" spans="1:29" x14ac:dyDescent="0.25">
      <c r="A19" s="152" t="s">
        <v>7</v>
      </c>
      <c r="B19" s="153" t="s">
        <v>93</v>
      </c>
      <c r="C19" s="172">
        <v>3.77E-8</v>
      </c>
    </row>
    <row r="20" spans="1:29" x14ac:dyDescent="0.25">
      <c r="A20" s="152" t="s">
        <v>7</v>
      </c>
      <c r="B20" s="153" t="s">
        <v>70</v>
      </c>
      <c r="C20" s="172">
        <v>2.81E-8</v>
      </c>
    </row>
    <row r="21" spans="1:29" x14ac:dyDescent="0.25">
      <c r="A21" s="152" t="s">
        <v>7</v>
      </c>
      <c r="B21" s="153" t="s">
        <v>94</v>
      </c>
      <c r="C21" s="173">
        <v>3.5399999999999999E-8</v>
      </c>
    </row>
    <row r="22" spans="1:29" x14ac:dyDescent="0.25">
      <c r="A22" s="152" t="s">
        <v>8</v>
      </c>
      <c r="B22" s="153" t="s">
        <v>93</v>
      </c>
      <c r="C22" s="173">
        <v>1.7100000000000001E-11</v>
      </c>
    </row>
    <row r="23" spans="1:29" x14ac:dyDescent="0.25">
      <c r="A23" s="152" t="s">
        <v>8</v>
      </c>
      <c r="B23" s="153" t="s">
        <v>70</v>
      </c>
      <c r="C23" s="155">
        <v>3.59E-11</v>
      </c>
    </row>
    <row r="24" spans="1:29" x14ac:dyDescent="0.25">
      <c r="A24" s="152" t="s">
        <v>8</v>
      </c>
      <c r="B24" s="153" t="s">
        <v>94</v>
      </c>
      <c r="C24" s="155">
        <v>1.01E-10</v>
      </c>
    </row>
    <row r="25" spans="1:29" x14ac:dyDescent="0.25">
      <c r="A25" s="174" t="s">
        <v>9</v>
      </c>
      <c r="B25" s="153" t="s">
        <v>93</v>
      </c>
      <c r="C25" s="155">
        <v>1.9499999999999999E-14</v>
      </c>
    </row>
    <row r="26" spans="1:29" x14ac:dyDescent="0.25">
      <c r="A26" s="174" t="s">
        <v>9</v>
      </c>
      <c r="B26" s="153" t="s">
        <v>70</v>
      </c>
      <c r="C26" s="155">
        <v>1.9900000000000001E-13</v>
      </c>
    </row>
    <row r="27" spans="1:29" x14ac:dyDescent="0.25">
      <c r="A27" s="174" t="s">
        <v>9</v>
      </c>
      <c r="B27" s="153" t="s">
        <v>94</v>
      </c>
      <c r="C27" s="155">
        <v>8.4700000000000003E-13</v>
      </c>
    </row>
    <row r="28" spans="1:29" x14ac:dyDescent="0.25">
      <c r="A28" s="174" t="s">
        <v>9</v>
      </c>
      <c r="B28" s="153" t="s">
        <v>25</v>
      </c>
      <c r="C28" s="155">
        <v>5.6200000000000003E-14</v>
      </c>
    </row>
    <row r="29" spans="1:29" x14ac:dyDescent="0.25">
      <c r="A29" s="174" t="s">
        <v>9</v>
      </c>
      <c r="B29" s="153" t="s">
        <v>95</v>
      </c>
      <c r="C29" s="155">
        <v>5.6200000000000001E-18</v>
      </c>
    </row>
    <row r="30" spans="1:29" x14ac:dyDescent="0.25">
      <c r="A30" s="174" t="s">
        <v>9</v>
      </c>
      <c r="B30" s="153" t="s">
        <v>96</v>
      </c>
      <c r="C30" s="155">
        <v>1.2800000000000001E-13</v>
      </c>
    </row>
    <row r="31" spans="1:29" x14ac:dyDescent="0.25">
      <c r="A31" s="174" t="s">
        <v>10</v>
      </c>
      <c r="B31" s="153" t="s">
        <v>93</v>
      </c>
      <c r="C31" s="155">
        <v>5.2199999999999998E-8</v>
      </c>
    </row>
    <row r="32" spans="1:29" x14ac:dyDescent="0.25">
      <c r="A32" s="174" t="s">
        <v>10</v>
      </c>
      <c r="B32" s="153" t="s">
        <v>70</v>
      </c>
      <c r="C32" s="155">
        <v>3.3600000000000003E-8</v>
      </c>
    </row>
    <row r="33" spans="1:3" ht="15.75" thickBot="1" x14ac:dyDescent="0.3">
      <c r="A33" s="175" t="s">
        <v>10</v>
      </c>
      <c r="B33" s="160" t="s">
        <v>94</v>
      </c>
      <c r="C33" s="162">
        <v>3.55E-8</v>
      </c>
    </row>
  </sheetData>
  <mergeCells count="5">
    <mergeCell ref="A1:I1"/>
    <mergeCell ref="L5:AC5"/>
    <mergeCell ref="A9:F9"/>
    <mergeCell ref="L12:AC12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Soil &amp; Air</vt:lpstr>
      <vt:lpstr>2-D External Exposure</vt:lpstr>
      <vt:lpstr>Isotope Specific Factors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Stagich, Brooke</dc:creator>
  <cp:lastModifiedBy>Manning, Karessa L.</cp:lastModifiedBy>
  <dcterms:created xsi:type="dcterms:W3CDTF">2015-07-21T18:45:32Z</dcterms:created>
  <dcterms:modified xsi:type="dcterms:W3CDTF">2015-10-12T15:09:41Z</dcterms:modified>
</cp:coreProperties>
</file>